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50" windowHeight="9210" tabRatio="754" activeTab="0"/>
  </bookViews>
  <sheets>
    <sheet name="48" sheetId="1" r:id="rId1"/>
    <sheet name="49" sheetId="2" r:id="rId2"/>
    <sheet name="50" sheetId="3" r:id="rId3"/>
    <sheet name="51" sheetId="4" r:id="rId4"/>
    <sheet name="КСС" sheetId="5" r:id="rId5"/>
  </sheets>
  <definedNames>
    <definedName name="Z_72814810_D4F5_440B_BF07_1E11AE909F42_.wvu.Cols" localSheetId="0" hidden="1">'48'!#REF!</definedName>
    <definedName name="Z_72814810_D4F5_440B_BF07_1E11AE909F42_.wvu.Cols" localSheetId="1" hidden="1">'49'!$E:$H</definedName>
    <definedName name="Z_72814810_D4F5_440B_BF07_1E11AE909F42_.wvu.Cols" localSheetId="2" hidden="1">'50'!#REF!</definedName>
    <definedName name="Z_72814810_D4F5_440B_BF07_1E11AE909F42_.wvu.Cols" localSheetId="3" hidden="1">'51'!#REF!</definedName>
    <definedName name="Z_72814810_D4F5_440B_BF07_1E11AE909F42_.wvu.Cols" localSheetId="4" hidden="1">'КСС'!#REF!,'КСС'!$E:$E</definedName>
    <definedName name="Z_72814810_D4F5_440B_BF07_1E11AE909F42_.wvu.PrintArea" localSheetId="1" hidden="1">'49'!$A$5:$BX$164</definedName>
    <definedName name="Z_72814810_D4F5_440B_BF07_1E11AE909F42_.wvu.PrintArea" localSheetId="4" hidden="1">'КСС'!$A$1:$E$148</definedName>
    <definedName name="Z_72814810_D4F5_440B_BF07_1E11AE909F42_.wvu.PrintTitles" localSheetId="2" hidden="1">'50'!$18:$20</definedName>
    <definedName name="Z_72814810_D4F5_440B_BF07_1E11AE909F42_.wvu.Rows" localSheetId="0" hidden="1">'48'!$10:$11,'48'!$31:$31,'48'!$36:$37,'48'!$42:$42,'48'!$49:$50,'48'!$53:$54,'48'!$56:$56,'48'!$58:$58,'48'!$89:$93,'48'!$99:$99,'48'!$109:$109,'48'!$125:$125,'48'!$136:$136</definedName>
    <definedName name="Z_72814810_D4F5_440B_BF07_1E11AE909F42_.wvu.Rows" localSheetId="1" hidden="1">'49'!#REF!,'49'!$31:$31,'49'!$36:$39,'49'!$40:$41,'49'!$49:$50,'49'!$53:$53,'49'!$61:$61,'49'!$89:$93,'49'!$98:$99,'49'!$109:$110,'49'!$125:$125,'49'!$136:$136</definedName>
    <definedName name="Z_72814810_D4F5_440B_BF07_1E11AE909F42_.wvu.Rows" localSheetId="2" hidden="1">'50'!$8:$11</definedName>
    <definedName name="Z_72814810_D4F5_440B_BF07_1E11AE909F42_.wvu.Rows" localSheetId="3" hidden="1">'51'!$10:$11</definedName>
    <definedName name="Z_72814810_D4F5_440B_BF07_1E11AE909F42_.wvu.Rows" localSheetId="4" hidden="1">'КСС'!$31:$31,'КСС'!$37:$37,'КСС'!#REF!,'КСС'!$49:$49,'КСС'!$53:$53,'КСС'!#REF!,'КСС'!$91:$91,'КСС'!$93:$93,'КСС'!$99:$99,'КСС'!$109:$110,'КСС'!$125:$125</definedName>
    <definedName name="_xlnm.Print_Titles" localSheetId="0">'48'!$18:$20</definedName>
    <definedName name="_xlnm.Print_Titles" localSheetId="1">'49'!$18:$20</definedName>
    <definedName name="_xlnm.Print_Titles" localSheetId="2">'50'!$18:$20</definedName>
    <definedName name="_xlnm.Print_Titles" localSheetId="4">'КСС'!$18:$20</definedName>
    <definedName name="_xlnm.Print_Area" localSheetId="0">'48'!$A$1:$BD$158</definedName>
    <definedName name="_xlnm.Print_Area" localSheetId="1">'49'!$A$4:$CC$161</definedName>
    <definedName name="_xlnm.Print_Area" localSheetId="2">'50'!$A$1:$DE$158</definedName>
    <definedName name="_xlnm.Print_Area" localSheetId="4">'КСС'!$A$1:$D$148</definedName>
  </definedNames>
  <calcPr fullCalcOnLoad="1"/>
</workbook>
</file>

<file path=xl/sharedStrings.xml><?xml version="1.0" encoding="utf-8"?>
<sst xmlns="http://schemas.openxmlformats.org/spreadsheetml/2006/main" count="19366" uniqueCount="428">
  <si>
    <t>Наименование работ</t>
  </si>
  <si>
    <t>Дом</t>
  </si>
  <si>
    <t>Подъездов всего</t>
  </si>
  <si>
    <t>Подъездов угловых</t>
  </si>
  <si>
    <t>Подъездов неугловых</t>
  </si>
  <si>
    <t>Этажность</t>
  </si>
  <si>
    <t>№ п/п</t>
  </si>
  <si>
    <t>Объем</t>
  </si>
  <si>
    <t xml:space="preserve"> тыс.руб.</t>
  </si>
  <si>
    <t>Количество домов</t>
  </si>
  <si>
    <t>шт</t>
  </si>
  <si>
    <t>дом</t>
  </si>
  <si>
    <t>Полезная площадь</t>
  </si>
  <si>
    <t>тыс.м2</t>
  </si>
  <si>
    <t>Количество квартир</t>
  </si>
  <si>
    <t>кв.</t>
  </si>
  <si>
    <t>Доходы :</t>
  </si>
  <si>
    <t>тыс.руб</t>
  </si>
  <si>
    <t>Текущий ремонт</t>
  </si>
  <si>
    <t>в том числе :</t>
  </si>
  <si>
    <t>шт.</t>
  </si>
  <si>
    <t>Ремонт квартир после протечек с кровли</t>
  </si>
  <si>
    <t>тыс.п/м</t>
  </si>
  <si>
    <t>под.</t>
  </si>
  <si>
    <t>Ремонт цоколя</t>
  </si>
  <si>
    <t>тыс.руб.</t>
  </si>
  <si>
    <t>Непредвид. расходы</t>
  </si>
  <si>
    <t>ИТОГО:</t>
  </si>
  <si>
    <t>тыс.п.м.</t>
  </si>
  <si>
    <t>Система отопления</t>
  </si>
  <si>
    <t xml:space="preserve">Непредвид. расходы </t>
  </si>
  <si>
    <t>ППР</t>
  </si>
  <si>
    <t>Система водоснабжения</t>
  </si>
  <si>
    <t>Ревизия ГВС</t>
  </si>
  <si>
    <t>Ревизия ХВС</t>
  </si>
  <si>
    <t>Ремонт стояка полотенцесуш.</t>
  </si>
  <si>
    <t>Ремонт оконных переплетов</t>
  </si>
  <si>
    <t>Замена стояков полотенцесуш.</t>
  </si>
  <si>
    <t>Замена тамбурных дверей</t>
  </si>
  <si>
    <t>Система канализации</t>
  </si>
  <si>
    <t>Установка пружин</t>
  </si>
  <si>
    <t>Ремонт системы канализации</t>
  </si>
  <si>
    <t>Ревизия системы канализац</t>
  </si>
  <si>
    <t>Проч-ка канализ. ст."кротом"</t>
  </si>
  <si>
    <t>Герметизация подъездов</t>
  </si>
  <si>
    <t>Установка пластиковых окон</t>
  </si>
  <si>
    <t>Замена стекол</t>
  </si>
  <si>
    <t>Лестничные клетки</t>
  </si>
  <si>
    <t>Замена мусороклапанов</t>
  </si>
  <si>
    <t>Замена почтовых ящиков</t>
  </si>
  <si>
    <t>Отлов животных</t>
  </si>
  <si>
    <t>Приобретение рассады</t>
  </si>
  <si>
    <t>Сдача домов НЧЭР КТС (акт)</t>
  </si>
  <si>
    <t>Приобретение песка</t>
  </si>
  <si>
    <t>Приобретение м/бачков</t>
  </si>
  <si>
    <t>Сдача домов ПТС (акт)</t>
  </si>
  <si>
    <t>Приобретение скамеек</t>
  </si>
  <si>
    <t>Акты готовности</t>
  </si>
  <si>
    <t>Установка циркул. насосов</t>
  </si>
  <si>
    <t>По статьям затрат:</t>
  </si>
  <si>
    <t>Ремонт зданий</t>
  </si>
  <si>
    <t>в т.ч.непредвид. расходы</t>
  </si>
  <si>
    <t>Водопровод канализации</t>
  </si>
  <si>
    <t>Отопление</t>
  </si>
  <si>
    <t>ВСЕГО:</t>
  </si>
  <si>
    <t>Директор</t>
  </si>
  <si>
    <t>Экономист</t>
  </si>
  <si>
    <t>Ремонт пешеход.дорожек</t>
  </si>
  <si>
    <t>Установка детск.площадок</t>
  </si>
  <si>
    <t>Утепление дверей в м/кмерах</t>
  </si>
  <si>
    <t>тн</t>
  </si>
  <si>
    <t>Утепление входных дверей в под. и  обшивка тамбура</t>
  </si>
  <si>
    <t>Монтаж подмеса для ГВС</t>
  </si>
  <si>
    <t>Завоз чернозёма</t>
  </si>
  <si>
    <t>Ремонт отмостки</t>
  </si>
  <si>
    <t xml:space="preserve">Ремонт дорог </t>
  </si>
  <si>
    <t>Ед.измер.</t>
  </si>
  <si>
    <t>Тариф, тыс.руб</t>
  </si>
  <si>
    <t>Всего, тыс.руб</t>
  </si>
  <si>
    <t>Гл. инженер</t>
  </si>
  <si>
    <t>Старший по дому</t>
  </si>
  <si>
    <t>3,2</t>
  </si>
  <si>
    <t>3,3</t>
  </si>
  <si>
    <t>3,4</t>
  </si>
  <si>
    <t>3,5</t>
  </si>
  <si>
    <t>3,6</t>
  </si>
  <si>
    <t>3,7</t>
  </si>
  <si>
    <t>3,8</t>
  </si>
  <si>
    <t>1,10</t>
  </si>
  <si>
    <t>1,20</t>
  </si>
  <si>
    <t>Ремонт ливневой канализации</t>
  </si>
  <si>
    <t>50/01</t>
  </si>
  <si>
    <t>50/02</t>
  </si>
  <si>
    <t>50/03</t>
  </si>
  <si>
    <t>50/04</t>
  </si>
  <si>
    <t>50/05</t>
  </si>
  <si>
    <t>50/06</t>
  </si>
  <si>
    <t>50/07</t>
  </si>
  <si>
    <t>50/11</t>
  </si>
  <si>
    <t>50/13</t>
  </si>
  <si>
    <t>50/14</t>
  </si>
  <si>
    <t>50/15</t>
  </si>
  <si>
    <t>51/01</t>
  </si>
  <si>
    <t>51/03</t>
  </si>
  <si>
    <t>51/04</t>
  </si>
  <si>
    <t>51/07</t>
  </si>
  <si>
    <t>51/10</t>
  </si>
  <si>
    <t>50/12</t>
  </si>
  <si>
    <t>49/27 А</t>
  </si>
  <si>
    <t>48/01</t>
  </si>
  <si>
    <t>48/03</t>
  </si>
  <si>
    <t>48/04</t>
  </si>
  <si>
    <t>48/05</t>
  </si>
  <si>
    <t>48/06</t>
  </si>
  <si>
    <t>48/11</t>
  </si>
  <si>
    <t>48/13</t>
  </si>
  <si>
    <t>48/15</t>
  </si>
  <si>
    <t>48/16</t>
  </si>
  <si>
    <t>48/17</t>
  </si>
  <si>
    <t>48/18</t>
  </si>
  <si>
    <t>48/20</t>
  </si>
  <si>
    <t>48/21</t>
  </si>
  <si>
    <t>49/02</t>
  </si>
  <si>
    <t>49/03</t>
  </si>
  <si>
    <t>49/05</t>
  </si>
  <si>
    <t>49/06</t>
  </si>
  <si>
    <t>49/08</t>
  </si>
  <si>
    <t>49/10</t>
  </si>
  <si>
    <t>49/11</t>
  </si>
  <si>
    <t>49/13</t>
  </si>
  <si>
    <t>49/15</t>
  </si>
  <si>
    <t>49/18</t>
  </si>
  <si>
    <t>49/21</t>
  </si>
  <si>
    <t>49/22</t>
  </si>
  <si>
    <t>49/23</t>
  </si>
  <si>
    <t>49/24</t>
  </si>
  <si>
    <t>49/25</t>
  </si>
  <si>
    <t>49/27</t>
  </si>
  <si>
    <t>49/29</t>
  </si>
  <si>
    <t>Замена бордюрного камня</t>
  </si>
  <si>
    <t>Окраска эл. лотков в тех. подвале</t>
  </si>
  <si>
    <t>Экспертиза стен</t>
  </si>
  <si>
    <t>1,27</t>
  </si>
  <si>
    <t>1,28</t>
  </si>
  <si>
    <t>1,29</t>
  </si>
  <si>
    <t>Ремонт пластиковых окон</t>
  </si>
  <si>
    <t>по ООО "ЖЭУ 50"</t>
  </si>
  <si>
    <t>по ООО "ЖЭУ 51"</t>
  </si>
  <si>
    <t>по ООО "ЖЭУ 48"</t>
  </si>
  <si>
    <t>по ООО "ЖЭУ 49"</t>
  </si>
  <si>
    <t>Орехова Л.Г.</t>
  </si>
  <si>
    <t>Матвеева В.Л.</t>
  </si>
  <si>
    <t>Ремонт дверей на кровлю(чердак)</t>
  </si>
  <si>
    <t>Ревизия системы отопления(пром,регул)</t>
  </si>
  <si>
    <t>Ремонт системы отопления(в.т.ч. л/к)</t>
  </si>
  <si>
    <t>Ремонт системы водоснабжения ГВСиХВС</t>
  </si>
  <si>
    <t>1,2</t>
  </si>
  <si>
    <t>1,3</t>
  </si>
  <si>
    <t>1,4</t>
  </si>
  <si>
    <t>1,5</t>
  </si>
  <si>
    <t>1,6</t>
  </si>
  <si>
    <t>1,7</t>
  </si>
  <si>
    <t>1,8</t>
  </si>
  <si>
    <t>1,9</t>
  </si>
  <si>
    <t>1,11</t>
  </si>
  <si>
    <t>1,12</t>
  </si>
  <si>
    <t>1,13</t>
  </si>
  <si>
    <t>1,14</t>
  </si>
  <si>
    <t>1,15</t>
  </si>
  <si>
    <t>1,16</t>
  </si>
  <si>
    <t>1,17</t>
  </si>
  <si>
    <t>1,18</t>
  </si>
  <si>
    <t>1,19</t>
  </si>
  <si>
    <t>1,21</t>
  </si>
  <si>
    <t>1,22</t>
  </si>
  <si>
    <t>1,23</t>
  </si>
  <si>
    <t>1,24</t>
  </si>
  <si>
    <t>1,25</t>
  </si>
  <si>
    <t>1,26</t>
  </si>
  <si>
    <t>1,31</t>
  </si>
  <si>
    <t>1,32</t>
  </si>
  <si>
    <t>1,33</t>
  </si>
  <si>
    <t>1,34</t>
  </si>
  <si>
    <t>1,35</t>
  </si>
  <si>
    <t>1,36</t>
  </si>
  <si>
    <t>1,41</t>
  </si>
  <si>
    <t>1,42</t>
  </si>
  <si>
    <t>1,43</t>
  </si>
  <si>
    <t>1,44</t>
  </si>
  <si>
    <t>1,45</t>
  </si>
  <si>
    <t>1,46</t>
  </si>
  <si>
    <t>1,47</t>
  </si>
  <si>
    <t>1,48</t>
  </si>
  <si>
    <t>1,49</t>
  </si>
  <si>
    <t>2,2</t>
  </si>
  <si>
    <t>2,3</t>
  </si>
  <si>
    <t>2,4</t>
  </si>
  <si>
    <t>2,5</t>
  </si>
  <si>
    <t>2,6</t>
  </si>
  <si>
    <t>4,2</t>
  </si>
  <si>
    <t>4,3</t>
  </si>
  <si>
    <t>4,4</t>
  </si>
  <si>
    <t>4,5</t>
  </si>
  <si>
    <t>5,1</t>
  </si>
  <si>
    <t>5,2</t>
  </si>
  <si>
    <t>5,3</t>
  </si>
  <si>
    <t>ППР(ограждений л/маршей,дверей, ремонт пола, мусоровыпуск и м-клап,поч. ящик, табл.-указатели)</t>
  </si>
  <si>
    <t xml:space="preserve">Установка рам </t>
  </si>
  <si>
    <t>Ремонт и покраска фасада</t>
  </si>
  <si>
    <t>Ремонт и покраска входов</t>
  </si>
  <si>
    <t>Ремонт и покраска МАФов, урн,скамеек</t>
  </si>
  <si>
    <t>Обслуживание ИТП(560224)</t>
  </si>
  <si>
    <t>м2</t>
  </si>
  <si>
    <t>тыс. п.м</t>
  </si>
  <si>
    <t>Ремонт м/камеры</t>
  </si>
  <si>
    <t>под</t>
  </si>
  <si>
    <t>ИТОГО</t>
  </si>
  <si>
    <t>1,1</t>
  </si>
  <si>
    <t>1,37</t>
  </si>
  <si>
    <t>1,40</t>
  </si>
  <si>
    <t>2,1</t>
  </si>
  <si>
    <t>3,1</t>
  </si>
  <si>
    <t>4,1</t>
  </si>
  <si>
    <t>Ремонт системы водоснабжения ГВСиХВС(вос.теплоиз. 0,12т.п.м.)</t>
  </si>
  <si>
    <t>Ремонт системы водоснабжения ГВСиХВС(вос.теплоиз. 0,08т.п.м.)</t>
  </si>
  <si>
    <t>Ремонт системы водоснабжения ГВСиХВС(вос.теплоиз. 0,03т.п.м.)</t>
  </si>
  <si>
    <t>Ремонт системы отопления(в.т.ч. л/к,вос.теплоиз. 0,05т.п.м.)</t>
  </si>
  <si>
    <t>Ремонт системы отопления(в.т.ч. л/к,вос.теплоиз. 0,04т.п.м.)</t>
  </si>
  <si>
    <t>Ремонт системы водоснабжения ГВСиХВС(вос.теплоиз. 0,04т.п.м.)</t>
  </si>
  <si>
    <t>Ремонт системы водоснабжения ГВСиХВС(вос.теплоиз. 0,05т.п.м.)</t>
  </si>
  <si>
    <t>Ремонт системы водоснабжения ГВСиХВС(вос.теплоиз. 0,15т.п.м.)</t>
  </si>
  <si>
    <t>Ремонт системы отопления(в.т.ч. л/к,вос.теплоиз. 0,02т.п.м.)</t>
  </si>
  <si>
    <t>Ганеев Р.Н.</t>
  </si>
  <si>
    <t>Курганова Л.Г.</t>
  </si>
  <si>
    <t>Казакова Н.А.</t>
  </si>
  <si>
    <t>Сорокина О.В.</t>
  </si>
  <si>
    <t>Гиматдинова А.Р.</t>
  </si>
  <si>
    <t>I квартал</t>
  </si>
  <si>
    <t>II квартал</t>
  </si>
  <si>
    <t>III квартал</t>
  </si>
  <si>
    <t>IV квартал</t>
  </si>
  <si>
    <t>Ремонт м/камеры(рем. мус/вып 1)</t>
  </si>
  <si>
    <t>Ремонт системы отопления(в.т.ч. л/к, вос.теплоиз. 0,04т.п.м.)</t>
  </si>
  <si>
    <t>Ремонт системы отопления(в.т.ч. л/к,вос.теплоиз. 0,13т.п.м.)</t>
  </si>
  <si>
    <t>Каняфина О.П.</t>
  </si>
  <si>
    <t>Ремонт м/камеры (рем. мус/вып 1, зам. мус/вып 4)</t>
  </si>
  <si>
    <t>Ремонт м/камеры(рем. мус/вып 1, зам. мус/вып 2)</t>
  </si>
  <si>
    <t>Ремонт м/камеры(рем. мус/вып 2, зам. мус/вып 2)</t>
  </si>
  <si>
    <t>Ремонт м/камеры(рем. мус/вып 2, зам. мус/вып 5)</t>
  </si>
  <si>
    <t>Установка счетчика ГВС</t>
  </si>
  <si>
    <t>Ремонт системы водоснабжения ГВС и ХВС</t>
  </si>
  <si>
    <t>Ремонт оконных переплётов</t>
  </si>
  <si>
    <t>Ремонт системы отопления                                         (в.т.ч. л/к)</t>
  </si>
  <si>
    <t>Ревизия системы отопления                                       (промывка регулировка)</t>
  </si>
  <si>
    <t>Установка водонагревателя</t>
  </si>
  <si>
    <t>Установка счётчика ГВС</t>
  </si>
  <si>
    <t xml:space="preserve"> п.м</t>
  </si>
  <si>
    <t>м/3</t>
  </si>
  <si>
    <t>Благоустройство двора                                                    (в т.ч. Ремонт и покраска МАФов, урн,скамеек, завоз чернозёма)</t>
  </si>
  <si>
    <t>Благоустройство двора                                                                            (в т.ч. Ремонт и покраска МАФов, урн,скамеек, завоз чернозёма)</t>
  </si>
  <si>
    <t>Ремонт системы водоснабжения  ГВС и ХВС</t>
  </si>
  <si>
    <t>Ремонт системы отопления                                                                       (в.т.ч. л/к)</t>
  </si>
  <si>
    <t>Ревизия системы отопления (промывка регулировка)</t>
  </si>
  <si>
    <t>Старший по жилому дому  49/02 кв.</t>
  </si>
  <si>
    <t>Старший по жилому дому  49/03 кв.</t>
  </si>
  <si>
    <t>Старший по жилому дому  49/05 кв.</t>
  </si>
  <si>
    <t>Старший по жилому дому  49/06 кв.</t>
  </si>
  <si>
    <t>Старший по жилому дому  49/08 кв.</t>
  </si>
  <si>
    <t>Старший по жилому дому  49/10 кв.</t>
  </si>
  <si>
    <t>Старший по жилому дому  49/11 кв.</t>
  </si>
  <si>
    <t>Старший по жилому дому  49/13 кв.</t>
  </si>
  <si>
    <t>Старший по жилому дому  49/15 кв.</t>
  </si>
  <si>
    <t>Старший по жилому дому  49/18 кв.</t>
  </si>
  <si>
    <t>Старший по жилому дому  49/21кв.</t>
  </si>
  <si>
    <t>Старший по жилому дому  49/22 кв.</t>
  </si>
  <si>
    <t>Старший по жилому дому  49/23 кв.</t>
  </si>
  <si>
    <t>Старший по жилому дому  49/24 кв.</t>
  </si>
  <si>
    <t>Старший по жилому дому  49/25 кв.</t>
  </si>
  <si>
    <t>Старший по жилому дому  49/27 кв.</t>
  </si>
  <si>
    <t>Старший по жилому дому  49/29 кв.</t>
  </si>
  <si>
    <t>Старший по жилому дому  48/01 кв.</t>
  </si>
  <si>
    <t>Старший по жилому дому  48/03 кв.</t>
  </si>
  <si>
    <t>Старший по жилому дому  48/04 кв.</t>
  </si>
  <si>
    <t>Старший по жилому дому  48/05 кв.</t>
  </si>
  <si>
    <t>Старший по жилому дому  48/06 кв.</t>
  </si>
  <si>
    <t>Старший по жилому дому  48/11 кв.</t>
  </si>
  <si>
    <t>Старший по жилому дому  48/13 кв.</t>
  </si>
  <si>
    <t>Старший по жилому дому  48/15 кв.</t>
  </si>
  <si>
    <t>Старший по жилому дому  48/16 кв.</t>
  </si>
  <si>
    <t>Старший по жилому дому  48/17 кв.</t>
  </si>
  <si>
    <t>Старший по жилому дому  48/18 кв.</t>
  </si>
  <si>
    <t>Старший по жилому дому  48/20 кв.</t>
  </si>
  <si>
    <t>Старший по жилому дому  48/21 кв.</t>
  </si>
  <si>
    <t>Согласовано Начальник ТО</t>
  </si>
  <si>
    <t xml:space="preserve">"Утверждаю" </t>
  </si>
  <si>
    <t>Генеральный директор ООО ЖЭУ "Камстройсервис"</t>
  </si>
  <si>
    <t>_____________________  Клещев Г.Ю.</t>
  </si>
  <si>
    <t>Гл.инженер</t>
  </si>
  <si>
    <t>по ООО ЖЭУ "Камстройсервис"</t>
  </si>
  <si>
    <t>% выполения</t>
  </si>
  <si>
    <t>Разумная Ю.Ю.</t>
  </si>
  <si>
    <t>49/25 А</t>
  </si>
  <si>
    <t>отклонения    тыс.руб</t>
  </si>
  <si>
    <t>Предъявлено</t>
  </si>
  <si>
    <t>Оплачено</t>
  </si>
  <si>
    <t>Всего</t>
  </si>
  <si>
    <t>Информация по квартплате, тыс. руб</t>
  </si>
  <si>
    <t>Тыс. руб.</t>
  </si>
  <si>
    <t>Долг населения на 01.07.2013</t>
  </si>
  <si>
    <t>Коммунальные</t>
  </si>
  <si>
    <t>Клещёв С.Г.</t>
  </si>
  <si>
    <t xml:space="preserve"> Начальник ТО</t>
  </si>
  <si>
    <t>Зотова А.Ф.</t>
  </si>
  <si>
    <t xml:space="preserve">         </t>
  </si>
  <si>
    <t>План на 2014 год</t>
  </si>
  <si>
    <t>План текущего ремонта на  2014год</t>
  </si>
  <si>
    <t>План текущего ремонта на 2014 года</t>
  </si>
  <si>
    <t>План текущего ремонта на 2014г</t>
  </si>
  <si>
    <t>Обслуживание вентканалов</t>
  </si>
  <si>
    <t>Ремонт системы отопления  (в.т.ч. л/к)</t>
  </si>
  <si>
    <t>без вп</t>
  </si>
  <si>
    <t>вп</t>
  </si>
  <si>
    <t>Текущий ремонт кровли</t>
  </si>
  <si>
    <t>План текущего ремонта на 2014 год</t>
  </si>
  <si>
    <t>План текущего ремонта на 2014год</t>
  </si>
  <si>
    <t>5 эт</t>
  </si>
  <si>
    <t>9 эт</t>
  </si>
  <si>
    <t>Штукатурка стен в подвале</t>
  </si>
  <si>
    <t>Побелка стен и потолков в подвале</t>
  </si>
  <si>
    <t>Утепление стен в подвале</t>
  </si>
  <si>
    <t>Ремонт цокольного окна</t>
  </si>
  <si>
    <t>Установка цокольного окна</t>
  </si>
  <si>
    <t>Изготовление и установка обувных решёток</t>
  </si>
  <si>
    <t xml:space="preserve">Текущий ремонт зданий </t>
  </si>
  <si>
    <t xml:space="preserve">Доходы </t>
  </si>
  <si>
    <t>Ремонт и покраска арок</t>
  </si>
  <si>
    <t>Обслуживание  ИТП</t>
  </si>
  <si>
    <t>Ремонт козырьков  (над входом в подъезд)</t>
  </si>
  <si>
    <t>ППР кровли ( крепление дефлекторов,зонтов, очистка кровли от мусора, устранение дутышей, ремонт парапетов, ремонт ручек на дверях на кровлю,установка колпаков ливнеприёмников,восстановление оголовков вент.,шахт)</t>
  </si>
  <si>
    <t>Ремонт межпанельных, температурных. швов</t>
  </si>
  <si>
    <t>Ремонт ступеней на крыльцах</t>
  </si>
  <si>
    <t>Ремонт  температурных. швов</t>
  </si>
  <si>
    <t>Утепление стен в подвале (газобетон)</t>
  </si>
  <si>
    <t>Ремонт м/выпуска</t>
  </si>
  <si>
    <t>Ремонт м/клапана</t>
  </si>
  <si>
    <t>т</t>
  </si>
  <si>
    <t>Начальник ПЭО</t>
  </si>
  <si>
    <t>Сибгатуллина Л.Р.</t>
  </si>
  <si>
    <t>Обслуживание ИТП</t>
  </si>
  <si>
    <t>Выше 0</t>
  </si>
  <si>
    <t>Ниже 0</t>
  </si>
  <si>
    <t>Ремонт тамбурных дверей</t>
  </si>
  <si>
    <t>Замена  мусоровыпусков</t>
  </si>
  <si>
    <t>Замена мусоровыпусков</t>
  </si>
  <si>
    <t>Замена мусороклапанов(2)</t>
  </si>
  <si>
    <t>Замена мусоровыпусков(2)</t>
  </si>
  <si>
    <t>Замена  мусоровыпусков(2)</t>
  </si>
  <si>
    <t>Выше 0(ГВС+ХВС)</t>
  </si>
  <si>
    <t>Ниже 0(ГВС+ХВС)</t>
  </si>
  <si>
    <t>2,7</t>
  </si>
  <si>
    <t>3,9</t>
  </si>
  <si>
    <t>3,10</t>
  </si>
  <si>
    <t>4,6</t>
  </si>
  <si>
    <t>Малярные работы</t>
  </si>
  <si>
    <t>Расчистка, побелка стен</t>
  </si>
  <si>
    <t>Расчистка,побелка стен</t>
  </si>
  <si>
    <t>Ремонт ограждений лестничных маршей</t>
  </si>
  <si>
    <t>пм</t>
  </si>
  <si>
    <t>Заделка выбоин в стенах и в полу</t>
  </si>
  <si>
    <t>Ремонт почтовых ящиков</t>
  </si>
  <si>
    <t>Ремонт мусорокамер</t>
  </si>
  <si>
    <t>ППР в том числе:</t>
  </si>
  <si>
    <t>Установка элементов на детских площадках</t>
  </si>
  <si>
    <t>Ремонт и покраска МАФов</t>
  </si>
  <si>
    <t>Установка спортивной площадки</t>
  </si>
  <si>
    <t>Благоустройство  территории</t>
  </si>
  <si>
    <t>Благоустройство двора                                                                            (в т.ч. Установка газонных ограждений)</t>
  </si>
  <si>
    <t>Ревизия системы отопления (пром,регул)</t>
  </si>
  <si>
    <t>Ремонт м/выпуска с укреплением шибера</t>
  </si>
  <si>
    <t>Ремонт системы отопления   (в.т.ч. л/к)</t>
  </si>
  <si>
    <t>Утепление двери в м/камере</t>
  </si>
  <si>
    <t>Ремонт и утепление тамбура</t>
  </si>
  <si>
    <t>Текущий ремонт л/клеток              в том числе:</t>
  </si>
  <si>
    <t>Стоимость работ по локальному сметному расчёту</t>
  </si>
  <si>
    <t>Услуги по прочистке труб</t>
  </si>
  <si>
    <t>Текущий ремонт л/клеток                        в том числе:</t>
  </si>
  <si>
    <t>Ревизия системы отопления   (пром,регул)</t>
  </si>
  <si>
    <t>ППР  на л/клетках                               в том числе:</t>
  </si>
  <si>
    <t xml:space="preserve">Уборка дорог </t>
  </si>
  <si>
    <t>Расчистка, побелка стен,покраска</t>
  </si>
  <si>
    <t>Побелка стен и потолков в подвале, на чердаке</t>
  </si>
  <si>
    <t>Штукатурка стен в подвале, на чердаке</t>
  </si>
  <si>
    <t>9,10,11</t>
  </si>
  <si>
    <t>Факт                                  за 1 квартал</t>
  </si>
  <si>
    <t>1</t>
  </si>
  <si>
    <t>1,51</t>
  </si>
  <si>
    <t>1,52</t>
  </si>
  <si>
    <t>1,53</t>
  </si>
  <si>
    <t>1,54</t>
  </si>
  <si>
    <t>1,61</t>
  </si>
  <si>
    <t>1,62</t>
  </si>
  <si>
    <t>1,63</t>
  </si>
  <si>
    <t>1,64</t>
  </si>
  <si>
    <t>1,65</t>
  </si>
  <si>
    <t>1,66</t>
  </si>
  <si>
    <t>1,67</t>
  </si>
  <si>
    <t>1,68</t>
  </si>
  <si>
    <t>1,69</t>
  </si>
  <si>
    <t>1,71</t>
  </si>
  <si>
    <t>2</t>
  </si>
  <si>
    <t>3</t>
  </si>
  <si>
    <t>4</t>
  </si>
  <si>
    <t>Ремонт и утепление тамбура (утепление потолка в тамбуре)</t>
  </si>
  <si>
    <t>Старший по жилому дому  49/25 А кв.</t>
  </si>
  <si>
    <t xml:space="preserve">Обслуживание ИТП                                                              </t>
  </si>
  <si>
    <t>Текущий ремонт л/клеток  в том числе:</t>
  </si>
  <si>
    <t>Старший по жилому дому  50/01 кв.</t>
  </si>
  <si>
    <t>Старший по жилому дому  50/02 кв.</t>
  </si>
  <si>
    <t>Старший по жилому дому  50/03 кв.</t>
  </si>
  <si>
    <t>Старший по жилому дому  50/04 кв.</t>
  </si>
  <si>
    <t>Старший по жилому дому  50/05 кв.</t>
  </si>
  <si>
    <t>Старший по жилому дому  50/06 кв.</t>
  </si>
  <si>
    <t>Старший по жилому дому  50/07 кв.</t>
  </si>
  <si>
    <t>Старший по жилому дому  50/11 кв.</t>
  </si>
  <si>
    <t>Старший по жилому дому  50/13 кв.</t>
  </si>
  <si>
    <t>Старший по жилому дому  50/14 кв.</t>
  </si>
  <si>
    <t>Старший по жилому дому  50/15 кв.</t>
  </si>
  <si>
    <t>"_________"________________2014 год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</si>
</sst>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#,##0.0"/>
    <numFmt numFmtId="170" formatCode="0.0"/>
    <numFmt numFmtId="171" formatCode="0.0000"/>
    <numFmt numFmtId="172" formatCode="0.00000"/>
    <numFmt numFmtId="173" formatCode="0.000000"/>
    <numFmt numFmtId="174" formatCode="#,##0.000"/>
    <numFmt numFmtId="175" formatCode="#,##0.0000"/>
    <numFmt numFmtId="176" formatCode="0.0000000"/>
    <numFmt numFmtId="177" formatCode="_(* #,##0.0_);_(* \(#,##0.0\);_(* &quot;-&quot;??_);_(@_)"/>
    <numFmt numFmtId="178" formatCode="_(* #,##0_);_(* \(#,##0\);_(* &quot;-&quot;??_);_(@_)"/>
    <numFmt numFmtId="179" formatCode="0.00000000"/>
    <numFmt numFmtId="180" formatCode="#,##0.0_р_."/>
    <numFmt numFmtId="181" formatCode="#,##0_р_."/>
    <numFmt numFmtId="182" formatCode="[$-FC19]d\ mmmm\ yyyy\ &quot;г.&quot;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.0_р_._-;\-* #,##0.0_р_._-;_-* &quot;-&quot;?_р_._-;_-@_-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_р_._-;\-* #,##0_р_._-;_-* &quot;-&quot;??_р_._-;_-@_-"/>
    <numFmt numFmtId="201" formatCode="#,##0.000000000000000000000"/>
    <numFmt numFmtId="202" formatCode="#,##0.00000000000000000000"/>
    <numFmt numFmtId="203" formatCode="#,##0.0000000000000000000"/>
    <numFmt numFmtId="204" formatCode="#,##0.000000000000000000"/>
    <numFmt numFmtId="205" formatCode="#,##0.00000000000000000"/>
    <numFmt numFmtId="206" formatCode="#,##0.0000000000000000"/>
    <numFmt numFmtId="207" formatCode="#,##0.000000000000000"/>
    <numFmt numFmtId="208" formatCode="#,##0.00000000000000"/>
    <numFmt numFmtId="209" formatCode="#,##0.0000000000000"/>
    <numFmt numFmtId="210" formatCode="#,##0.000000000000"/>
    <numFmt numFmtId="211" formatCode="#,##0.00000000000"/>
    <numFmt numFmtId="212" formatCode="#,##0.0000000000"/>
    <numFmt numFmtId="213" formatCode="#,##0.000000000"/>
    <numFmt numFmtId="214" formatCode="#,##0.00000000"/>
  </numFmts>
  <fonts count="10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9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i/>
      <sz val="12"/>
      <name val="Arial Cyr"/>
      <family val="0"/>
    </font>
    <font>
      <i/>
      <sz val="11"/>
      <name val="Arial Cyr"/>
      <family val="0"/>
    </font>
    <font>
      <i/>
      <sz val="12"/>
      <color indexed="12"/>
      <name val="Arial Cyr"/>
      <family val="0"/>
    </font>
    <font>
      <sz val="14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1"/>
      <color indexed="12"/>
      <name val="Arial Cyr"/>
      <family val="0"/>
    </font>
    <font>
      <b/>
      <sz val="10"/>
      <color indexed="62"/>
      <name val="Arial Cyr"/>
      <family val="2"/>
    </font>
    <font>
      <sz val="14"/>
      <name val="Arial"/>
      <family val="2"/>
    </font>
    <font>
      <sz val="12"/>
      <color indexed="12"/>
      <name val="Arial Cyr"/>
      <family val="0"/>
    </font>
    <font>
      <b/>
      <i/>
      <sz val="16"/>
      <name val="Arial Cyr"/>
      <family val="0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b/>
      <sz val="14"/>
      <name val="Verdana"/>
      <family val="2"/>
    </font>
    <font>
      <b/>
      <sz val="13"/>
      <name val="Bookman Old Style"/>
      <family val="1"/>
    </font>
    <font>
      <b/>
      <i/>
      <sz val="13"/>
      <name val="Bookman Old Style"/>
      <family val="1"/>
    </font>
    <font>
      <b/>
      <sz val="14"/>
      <name val="Bookman Old Style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3"/>
      <name val="Arial Cyr"/>
      <family val="0"/>
    </font>
    <font>
      <b/>
      <sz val="10"/>
      <color indexed="10"/>
      <name val="Verdana"/>
      <family val="2"/>
    </font>
    <font>
      <i/>
      <sz val="13"/>
      <name val="Bookman Old Style"/>
      <family val="1"/>
    </font>
    <font>
      <b/>
      <i/>
      <sz val="12"/>
      <name val="Bookman Old Style"/>
      <family val="1"/>
    </font>
    <font>
      <sz val="13"/>
      <name val="Arial"/>
      <family val="2"/>
    </font>
    <font>
      <sz val="13"/>
      <name val="Times New Roman"/>
      <family val="1"/>
    </font>
    <font>
      <b/>
      <sz val="12"/>
      <color indexed="12"/>
      <name val="Times New Roman"/>
      <family val="1"/>
    </font>
    <font>
      <i/>
      <sz val="14"/>
      <name val="Arial Cyr"/>
      <family val="0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778">
    <xf numFmtId="0" fontId="0" fillId="0" borderId="0" xfId="0" applyAlignment="1">
      <alignment/>
    </xf>
    <xf numFmtId="0" fontId="3" fillId="0" borderId="10" xfId="55" applyFont="1" applyBorder="1">
      <alignment/>
      <protection/>
    </xf>
    <xf numFmtId="166" fontId="3" fillId="0" borderId="10" xfId="67" applyFont="1" applyBorder="1" applyAlignment="1">
      <alignment horizontal="center"/>
    </xf>
    <xf numFmtId="166" fontId="3" fillId="0" borderId="10" xfId="67" applyFont="1" applyBorder="1" applyAlignment="1">
      <alignment/>
    </xf>
    <xf numFmtId="0" fontId="3" fillId="0" borderId="11" xfId="55" applyFont="1" applyBorder="1" applyAlignment="1">
      <alignment horizontal="center"/>
      <protection/>
    </xf>
    <xf numFmtId="166" fontId="3" fillId="33" borderId="10" xfId="67" applyFont="1" applyFill="1" applyBorder="1" applyAlignment="1">
      <alignment/>
    </xf>
    <xf numFmtId="0" fontId="3" fillId="0" borderId="12" xfId="55" applyFont="1" applyBorder="1">
      <alignment/>
      <protection/>
    </xf>
    <xf numFmtId="166" fontId="6" fillId="0" borderId="10" xfId="67" applyFont="1" applyBorder="1" applyAlignment="1">
      <alignment/>
    </xf>
    <xf numFmtId="166" fontId="3" fillId="0" borderId="11" xfId="67" applyFont="1" applyBorder="1" applyAlignment="1">
      <alignment/>
    </xf>
    <xf numFmtId="0" fontId="3" fillId="0" borderId="10" xfId="55" applyFont="1" applyFill="1" applyBorder="1">
      <alignment/>
      <protection/>
    </xf>
    <xf numFmtId="169" fontId="6" fillId="0" borderId="10" xfId="55" applyNumberFormat="1" applyFont="1" applyFill="1" applyBorder="1" applyAlignment="1">
      <alignment horizontal="center"/>
      <protection/>
    </xf>
    <xf numFmtId="166" fontId="3" fillId="0" borderId="11" xfId="67" applyFont="1" applyBorder="1" applyAlignment="1">
      <alignment horizontal="center"/>
    </xf>
    <xf numFmtId="166" fontId="7" fillId="0" borderId="10" xfId="67" applyFont="1" applyBorder="1" applyAlignment="1">
      <alignment horizontal="center"/>
    </xf>
    <xf numFmtId="166" fontId="7" fillId="0" borderId="10" xfId="67" applyFont="1" applyBorder="1" applyAlignment="1">
      <alignment horizontal="left"/>
    </xf>
    <xf numFmtId="0" fontId="7" fillId="0" borderId="10" xfId="55" applyFont="1" applyBorder="1">
      <alignment/>
      <protection/>
    </xf>
    <xf numFmtId="0" fontId="7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169" fontId="7" fillId="0" borderId="10" xfId="55" applyNumberFormat="1" applyFont="1" applyFill="1" applyBorder="1" applyAlignment="1">
      <alignment horizontal="center"/>
      <protection/>
    </xf>
    <xf numFmtId="49" fontId="3" fillId="0" borderId="10" xfId="67" applyNumberFormat="1" applyFont="1" applyBorder="1" applyAlignment="1">
      <alignment horizontal="center"/>
    </xf>
    <xf numFmtId="169" fontId="8" fillId="0" borderId="10" xfId="55" applyNumberFormat="1" applyFont="1" applyFill="1" applyBorder="1" applyAlignment="1">
      <alignment horizontal="center"/>
      <protection/>
    </xf>
    <xf numFmtId="2" fontId="3" fillId="0" borderId="11" xfId="55" applyNumberFormat="1" applyFont="1" applyBorder="1" applyAlignment="1">
      <alignment horizontal="center"/>
      <protection/>
    </xf>
    <xf numFmtId="168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indent="11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66" fontId="4" fillId="0" borderId="10" xfId="67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170" fontId="0" fillId="0" borderId="0" xfId="0" applyNumberFormat="1" applyAlignment="1">
      <alignment/>
    </xf>
    <xf numFmtId="49" fontId="3" fillId="34" borderId="10" xfId="67" applyNumberFormat="1" applyFont="1" applyFill="1" applyBorder="1" applyAlignment="1">
      <alignment horizontal="center"/>
    </xf>
    <xf numFmtId="0" fontId="3" fillId="34" borderId="10" xfId="55" applyFont="1" applyFill="1" applyBorder="1">
      <alignment/>
      <protection/>
    </xf>
    <xf numFmtId="166" fontId="6" fillId="34" borderId="10" xfId="67" applyFont="1" applyFill="1" applyBorder="1" applyAlignment="1">
      <alignment/>
    </xf>
    <xf numFmtId="166" fontId="6" fillId="0" borderId="10" xfId="67" applyFont="1" applyBorder="1" applyAlignment="1">
      <alignment horizontal="center"/>
    </xf>
    <xf numFmtId="166" fontId="3" fillId="34" borderId="11" xfId="67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169" fontId="6" fillId="34" borderId="10" xfId="55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7" fillId="0" borderId="10" xfId="55" applyFont="1" applyBorder="1">
      <alignment/>
      <protection/>
    </xf>
    <xf numFmtId="166" fontId="17" fillId="0" borderId="10" xfId="67" applyFont="1" applyBorder="1" applyAlignment="1">
      <alignment horizontal="center"/>
    </xf>
    <xf numFmtId="169" fontId="17" fillId="0" borderId="10" xfId="55" applyNumberFormat="1" applyFont="1" applyFill="1" applyBorder="1" applyAlignment="1">
      <alignment horizontal="center"/>
      <protection/>
    </xf>
    <xf numFmtId="166" fontId="18" fillId="0" borderId="10" xfId="67" applyFont="1" applyBorder="1" applyAlignment="1">
      <alignment/>
    </xf>
    <xf numFmtId="166" fontId="19" fillId="0" borderId="11" xfId="67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66" fontId="3" fillId="35" borderId="10" xfId="67" applyFont="1" applyFill="1" applyBorder="1" applyAlignment="1">
      <alignment/>
    </xf>
    <xf numFmtId="166" fontId="3" fillId="35" borderId="11" xfId="67" applyFont="1" applyFill="1" applyBorder="1" applyAlignment="1">
      <alignment horizontal="center"/>
    </xf>
    <xf numFmtId="166" fontId="3" fillId="33" borderId="11" xfId="67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9" fontId="6" fillId="34" borderId="13" xfId="55" applyNumberFormat="1" applyFont="1" applyFill="1" applyBorder="1">
      <alignment/>
      <protection/>
    </xf>
    <xf numFmtId="170" fontId="6" fillId="34" borderId="14" xfId="55" applyNumberFormat="1" applyFont="1" applyFill="1" applyBorder="1">
      <alignment/>
      <protection/>
    </xf>
    <xf numFmtId="169" fontId="6" fillId="34" borderId="15" xfId="55" applyNumberFormat="1" applyFont="1" applyFill="1" applyBorder="1">
      <alignment/>
      <protection/>
    </xf>
    <xf numFmtId="166" fontId="3" fillId="0" borderId="10" xfId="67" applyFont="1" applyBorder="1" applyAlignment="1">
      <alignment wrapText="1"/>
    </xf>
    <xf numFmtId="166" fontId="3" fillId="0" borderId="10" xfId="67" applyFont="1" applyBorder="1" applyAlignment="1">
      <alignment horizontal="left"/>
    </xf>
    <xf numFmtId="166" fontId="27" fillId="36" borderId="10" xfId="67" applyFont="1" applyFill="1" applyBorder="1" applyAlignment="1">
      <alignment/>
    </xf>
    <xf numFmtId="3" fontId="24" fillId="0" borderId="10" xfId="0" applyNumberFormat="1" applyFon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49" fontId="27" fillId="0" borderId="10" xfId="67" applyNumberFormat="1" applyFont="1" applyBorder="1" applyAlignment="1">
      <alignment horizontal="center"/>
    </xf>
    <xf numFmtId="166" fontId="27" fillId="0" borderId="10" xfId="67" applyFont="1" applyBorder="1" applyAlignment="1">
      <alignment/>
    </xf>
    <xf numFmtId="166" fontId="27" fillId="0" borderId="11" xfId="67" applyFont="1" applyBorder="1" applyAlignment="1">
      <alignment horizontal="center"/>
    </xf>
    <xf numFmtId="166" fontId="27" fillId="0" borderId="10" xfId="67" applyFont="1" applyBorder="1" applyAlignment="1">
      <alignment horizontal="center"/>
    </xf>
    <xf numFmtId="0" fontId="27" fillId="0" borderId="11" xfId="55" applyFont="1" applyBorder="1" applyAlignment="1">
      <alignment horizontal="center"/>
      <protection/>
    </xf>
    <xf numFmtId="0" fontId="27" fillId="0" borderId="10" xfId="55" applyFont="1" applyBorder="1">
      <alignment/>
      <protection/>
    </xf>
    <xf numFmtId="168" fontId="25" fillId="0" borderId="10" xfId="0" applyNumberFormat="1" applyFont="1" applyBorder="1" applyAlignment="1">
      <alignment horizontal="center"/>
    </xf>
    <xf numFmtId="168" fontId="30" fillId="0" borderId="11" xfId="0" applyNumberFormat="1" applyFont="1" applyBorder="1" applyAlignment="1">
      <alignment horizontal="center"/>
    </xf>
    <xf numFmtId="166" fontId="27" fillId="33" borderId="10" xfId="67" applyFont="1" applyFill="1" applyBorder="1" applyAlignment="1">
      <alignment/>
    </xf>
    <xf numFmtId="0" fontId="30" fillId="0" borderId="11" xfId="0" applyFont="1" applyBorder="1" applyAlignment="1">
      <alignment horizontal="center"/>
    </xf>
    <xf numFmtId="166" fontId="31" fillId="0" borderId="10" xfId="67" applyFont="1" applyBorder="1" applyAlignment="1">
      <alignment/>
    </xf>
    <xf numFmtId="0" fontId="27" fillId="0" borderId="12" xfId="55" applyFont="1" applyBorder="1">
      <alignment/>
      <protection/>
    </xf>
    <xf numFmtId="0" fontId="27" fillId="0" borderId="10" xfId="55" applyFont="1" applyFill="1" applyBorder="1">
      <alignment/>
      <protection/>
    </xf>
    <xf numFmtId="166" fontId="27" fillId="0" borderId="11" xfId="67" applyFont="1" applyBorder="1" applyAlignment="1">
      <alignment/>
    </xf>
    <xf numFmtId="166" fontId="31" fillId="0" borderId="10" xfId="67" applyFont="1" applyBorder="1" applyAlignment="1">
      <alignment horizontal="center"/>
    </xf>
    <xf numFmtId="0" fontId="25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49" fontId="27" fillId="34" borderId="10" xfId="67" applyNumberFormat="1" applyFont="1" applyFill="1" applyBorder="1" applyAlignment="1">
      <alignment horizontal="center"/>
    </xf>
    <xf numFmtId="166" fontId="31" fillId="34" borderId="10" xfId="67" applyFont="1" applyFill="1" applyBorder="1" applyAlignment="1">
      <alignment/>
    </xf>
    <xf numFmtId="166" fontId="27" fillId="34" borderId="11" xfId="67" applyFont="1" applyFill="1" applyBorder="1" applyAlignment="1">
      <alignment horizontal="center"/>
    </xf>
    <xf numFmtId="0" fontId="27" fillId="34" borderId="10" xfId="55" applyFont="1" applyFill="1" applyBorder="1">
      <alignment/>
      <protection/>
    </xf>
    <xf numFmtId="169" fontId="31" fillId="34" borderId="10" xfId="55" applyNumberFormat="1" applyFont="1" applyFill="1" applyBorder="1" applyAlignment="1">
      <alignment horizontal="center"/>
      <protection/>
    </xf>
    <xf numFmtId="0" fontId="27" fillId="34" borderId="10" xfId="55" applyFont="1" applyFill="1" applyBorder="1" applyAlignment="1">
      <alignment horizontal="center"/>
      <protection/>
    </xf>
    <xf numFmtId="0" fontId="27" fillId="0" borderId="10" xfId="55" applyFont="1" applyBorder="1" applyAlignment="1">
      <alignment horizontal="center"/>
      <protection/>
    </xf>
    <xf numFmtId="1" fontId="25" fillId="0" borderId="10" xfId="0" applyNumberFormat="1" applyFont="1" applyBorder="1" applyAlignment="1">
      <alignment/>
    </xf>
    <xf numFmtId="166" fontId="27" fillId="0" borderId="10" xfId="67" applyFont="1" applyFill="1" applyBorder="1" applyAlignment="1">
      <alignment/>
    </xf>
    <xf numFmtId="166" fontId="27" fillId="0" borderId="11" xfId="67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66" fontId="32" fillId="0" borderId="10" xfId="67" applyFont="1" applyBorder="1" applyAlignment="1">
      <alignment horizontal="center"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2" fillId="0" borderId="10" xfId="55" applyFont="1" applyBorder="1">
      <alignment/>
      <protection/>
    </xf>
    <xf numFmtId="166" fontId="32" fillId="0" borderId="10" xfId="67" applyFont="1" applyBorder="1" applyAlignment="1">
      <alignment horizontal="left"/>
    </xf>
    <xf numFmtId="0" fontId="35" fillId="0" borderId="10" xfId="55" applyFont="1" applyBorder="1">
      <alignment/>
      <protection/>
    </xf>
    <xf numFmtId="166" fontId="35" fillId="0" borderId="10" xfId="67" applyFont="1" applyBorder="1" applyAlignment="1">
      <alignment horizontal="center"/>
    </xf>
    <xf numFmtId="169" fontId="33" fillId="0" borderId="10" xfId="55" applyNumberFormat="1" applyFont="1" applyFill="1" applyBorder="1" applyAlignment="1">
      <alignment horizontal="center"/>
      <protection/>
    </xf>
    <xf numFmtId="0" fontId="33" fillId="0" borderId="10" xfId="55" applyFont="1" applyBorder="1">
      <alignment/>
      <protection/>
    </xf>
    <xf numFmtId="166" fontId="33" fillId="0" borderId="10" xfId="67" applyFont="1" applyBorder="1" applyAlignment="1">
      <alignment horizontal="center"/>
    </xf>
    <xf numFmtId="0" fontId="25" fillId="0" borderId="0" xfId="0" applyFont="1" applyAlignment="1">
      <alignment horizontal="left"/>
    </xf>
    <xf numFmtId="1" fontId="27" fillId="34" borderId="10" xfId="55" applyNumberFormat="1" applyFont="1" applyFill="1" applyBorder="1">
      <alignment/>
      <protection/>
    </xf>
    <xf numFmtId="0" fontId="25" fillId="36" borderId="10" xfId="0" applyFont="1" applyFill="1" applyBorder="1" applyAlignment="1">
      <alignment/>
    </xf>
    <xf numFmtId="166" fontId="27" fillId="36" borderId="11" xfId="67" applyFont="1" applyFill="1" applyBorder="1" applyAlignment="1">
      <alignment horizontal="center"/>
    </xf>
    <xf numFmtId="0" fontId="25" fillId="36" borderId="0" xfId="0" applyFont="1" applyFill="1" applyAlignment="1">
      <alignment/>
    </xf>
    <xf numFmtId="2" fontId="25" fillId="36" borderId="10" xfId="0" applyNumberFormat="1" applyFont="1" applyFill="1" applyBorder="1" applyAlignment="1">
      <alignment/>
    </xf>
    <xf numFmtId="49" fontId="27" fillId="36" borderId="10" xfId="67" applyNumberFormat="1" applyFont="1" applyFill="1" applyBorder="1" applyAlignment="1">
      <alignment horizontal="center"/>
    </xf>
    <xf numFmtId="2" fontId="25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" fontId="25" fillId="36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" fontId="25" fillId="36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 horizontal="center"/>
    </xf>
    <xf numFmtId="168" fontId="25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9" fontId="27" fillId="0" borderId="10" xfId="67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/>
    </xf>
    <xf numFmtId="49" fontId="3" fillId="33" borderId="10" xfId="67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 horizontal="right" indent="11"/>
    </xf>
    <xf numFmtId="0" fontId="36" fillId="0" borderId="0" xfId="0" applyFont="1" applyAlignment="1">
      <alignment horizontal="right" indent="11"/>
    </xf>
    <xf numFmtId="168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" fillId="0" borderId="10" xfId="55" applyFont="1" applyBorder="1" applyAlignment="1">
      <alignment horizontal="center"/>
      <protection/>
    </xf>
    <xf numFmtId="169" fontId="3" fillId="0" borderId="10" xfId="55" applyNumberFormat="1" applyFont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170" fontId="6" fillId="34" borderId="10" xfId="55" applyNumberFormat="1" applyFont="1" applyFill="1" applyBorder="1">
      <alignment/>
      <protection/>
    </xf>
    <xf numFmtId="169" fontId="6" fillId="34" borderId="13" xfId="55" applyNumberFormat="1" applyFont="1" applyFill="1" applyBorder="1" applyAlignment="1">
      <alignment horizontal="right"/>
      <protection/>
    </xf>
    <xf numFmtId="170" fontId="6" fillId="34" borderId="10" xfId="55" applyNumberFormat="1" applyFont="1" applyFill="1" applyBorder="1" applyAlignment="1">
      <alignment horizontal="right"/>
      <protection/>
    </xf>
    <xf numFmtId="169" fontId="6" fillId="34" borderId="15" xfId="55" applyNumberFormat="1" applyFont="1" applyFill="1" applyBorder="1" applyAlignment="1">
      <alignment horizontal="right"/>
      <protection/>
    </xf>
    <xf numFmtId="170" fontId="12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70" fontId="6" fillId="34" borderId="11" xfId="55" applyNumberFormat="1" applyFont="1" applyFill="1" applyBorder="1">
      <alignment/>
      <protection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17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0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68" fontId="3" fillId="0" borderId="15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/>
    </xf>
    <xf numFmtId="168" fontId="3" fillId="0" borderId="13" xfId="0" applyNumberFormat="1" applyFont="1" applyFill="1" applyBorder="1" applyAlignment="1">
      <alignment/>
    </xf>
    <xf numFmtId="170" fontId="3" fillId="0" borderId="14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70" fontId="3" fillId="0" borderId="14" xfId="0" applyNumberFormat="1" applyFont="1" applyFill="1" applyBorder="1" applyAlignment="1">
      <alignment horizontal="right"/>
    </xf>
    <xf numFmtId="170" fontId="3" fillId="0" borderId="10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170" fontId="3" fillId="0" borderId="10" xfId="0" applyNumberFormat="1" applyFont="1" applyBorder="1" applyAlignment="1">
      <alignment horizontal="right"/>
    </xf>
    <xf numFmtId="0" fontId="5" fillId="0" borderId="10" xfId="55" applyFont="1" applyBorder="1" applyAlignment="1">
      <alignment horizontal="center" vertical="center" wrapText="1"/>
      <protection/>
    </xf>
    <xf numFmtId="169" fontId="3" fillId="0" borderId="10" xfId="55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168" fontId="3" fillId="34" borderId="10" xfId="55" applyNumberFormat="1" applyFont="1" applyFill="1" applyBorder="1" applyAlignment="1">
      <alignment horizontal="center"/>
      <protection/>
    </xf>
    <xf numFmtId="168" fontId="3" fillId="0" borderId="10" xfId="55" applyNumberFormat="1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9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166" fontId="4" fillId="0" borderId="11" xfId="67" applyFont="1" applyBorder="1" applyAlignment="1">
      <alignment horizontal="center" vertical="center" wrapText="1"/>
    </xf>
    <xf numFmtId="166" fontId="4" fillId="0" borderId="0" xfId="67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/>
    </xf>
    <xf numFmtId="170" fontId="5" fillId="0" borderId="0" xfId="67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6" fillId="34" borderId="0" xfId="55" applyNumberFormat="1" applyFont="1" applyFill="1" applyBorder="1">
      <alignment/>
      <protection/>
    </xf>
    <xf numFmtId="170" fontId="3" fillId="0" borderId="0" xfId="55" applyNumberFormat="1" applyFont="1" applyFill="1" applyBorder="1" applyAlignment="1">
      <alignment horizontal="center"/>
      <protection/>
    </xf>
    <xf numFmtId="49" fontId="3" fillId="0" borderId="15" xfId="67" applyNumberFormat="1" applyFont="1" applyBorder="1" applyAlignment="1">
      <alignment horizontal="center"/>
    </xf>
    <xf numFmtId="49" fontId="3" fillId="34" borderId="15" xfId="6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9" fontId="7" fillId="0" borderId="0" xfId="55" applyNumberFormat="1" applyFont="1" applyFill="1" applyBorder="1" applyAlignment="1">
      <alignment horizontal="center"/>
      <protection/>
    </xf>
    <xf numFmtId="168" fontId="3" fillId="0" borderId="0" xfId="0" applyNumberFormat="1" applyFont="1" applyFill="1" applyBorder="1" applyAlignment="1">
      <alignment/>
    </xf>
    <xf numFmtId="174" fontId="11" fillId="0" borderId="0" xfId="0" applyNumberFormat="1" applyFont="1" applyAlignment="1">
      <alignment/>
    </xf>
    <xf numFmtId="3" fontId="7" fillId="0" borderId="10" xfId="55" applyNumberFormat="1" applyFont="1" applyFill="1" applyBorder="1" applyAlignment="1">
      <alignment horizontal="center"/>
      <protection/>
    </xf>
    <xf numFmtId="3" fontId="17" fillId="0" borderId="10" xfId="55" applyNumberFormat="1" applyFont="1" applyFill="1" applyBorder="1" applyAlignment="1">
      <alignment horizontal="center"/>
      <protection/>
    </xf>
    <xf numFmtId="0" fontId="44" fillId="0" borderId="10" xfId="0" applyFont="1" applyBorder="1" applyAlignment="1">
      <alignment horizontal="center"/>
    </xf>
    <xf numFmtId="168" fontId="44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169" fontId="45" fillId="0" borderId="10" xfId="0" applyNumberFormat="1" applyFont="1" applyBorder="1" applyAlignment="1">
      <alignment horizontal="center"/>
    </xf>
    <xf numFmtId="0" fontId="44" fillId="0" borderId="10" xfId="55" applyFont="1" applyBorder="1">
      <alignment/>
      <protection/>
    </xf>
    <xf numFmtId="174" fontId="44" fillId="0" borderId="10" xfId="0" applyNumberFormat="1" applyFont="1" applyBorder="1" applyAlignment="1">
      <alignment horizontal="center"/>
    </xf>
    <xf numFmtId="3" fontId="44" fillId="36" borderId="10" xfId="0" applyNumberFormat="1" applyFont="1" applyFill="1" applyBorder="1" applyAlignment="1">
      <alignment horizontal="center"/>
    </xf>
    <xf numFmtId="169" fontId="44" fillId="36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34" borderId="10" xfId="55" applyFont="1" applyFill="1" applyBorder="1">
      <alignment/>
      <protection/>
    </xf>
    <xf numFmtId="169" fontId="45" fillId="34" borderId="10" xfId="55" applyNumberFormat="1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170" fontId="44" fillId="0" borderId="10" xfId="0" applyNumberFormat="1" applyFont="1" applyBorder="1" applyAlignment="1">
      <alignment horizontal="center"/>
    </xf>
    <xf numFmtId="0" fontId="46" fillId="0" borderId="10" xfId="55" applyFont="1" applyBorder="1" applyAlignment="1">
      <alignment horizontal="center" vertical="center" wrapText="1"/>
      <protection/>
    </xf>
    <xf numFmtId="166" fontId="27" fillId="37" borderId="10" xfId="67" applyFont="1" applyFill="1" applyBorder="1" applyAlignment="1">
      <alignment/>
    </xf>
    <xf numFmtId="166" fontId="32" fillId="37" borderId="10" xfId="67" applyFont="1" applyFill="1" applyBorder="1" applyAlignment="1">
      <alignment horizontal="center"/>
    </xf>
    <xf numFmtId="3" fontId="44" fillId="37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3" fillId="0" borderId="12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0" fontId="3" fillId="0" borderId="10" xfId="55" applyNumberFormat="1" applyFont="1" applyBorder="1" applyAlignment="1">
      <alignment horizontal="center"/>
      <protection/>
    </xf>
    <xf numFmtId="180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2" fillId="36" borderId="10" xfId="0" applyNumberFormat="1" applyFont="1" applyFill="1" applyBorder="1" applyAlignment="1">
      <alignment horizontal="center"/>
    </xf>
    <xf numFmtId="181" fontId="25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4" borderId="10" xfId="55" applyFont="1" applyFill="1" applyBorder="1">
      <alignment/>
      <protection/>
    </xf>
    <xf numFmtId="0" fontId="31" fillId="0" borderId="0" xfId="0" applyFont="1" applyAlignment="1">
      <alignment/>
    </xf>
    <xf numFmtId="0" fontId="48" fillId="34" borderId="10" xfId="0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70" fontId="27" fillId="34" borderId="10" xfId="0" applyNumberFormat="1" applyFont="1" applyFill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2" fontId="27" fillId="34" borderId="10" xfId="0" applyNumberFormat="1" applyFont="1" applyFill="1" applyBorder="1" applyAlignment="1">
      <alignment horizontal="center"/>
    </xf>
    <xf numFmtId="170" fontId="31" fillId="34" borderId="10" xfId="55" applyNumberFormat="1" applyFont="1" applyFill="1" applyBorder="1">
      <alignment/>
      <protection/>
    </xf>
    <xf numFmtId="169" fontId="25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69" fontId="32" fillId="0" borderId="10" xfId="0" applyNumberFormat="1" applyFont="1" applyBorder="1" applyAlignment="1">
      <alignment horizontal="center"/>
    </xf>
    <xf numFmtId="3" fontId="33" fillId="0" borderId="10" xfId="55" applyNumberFormat="1" applyFont="1" applyFill="1" applyBorder="1" applyAlignment="1">
      <alignment horizontal="center"/>
      <protection/>
    </xf>
    <xf numFmtId="0" fontId="25" fillId="33" borderId="10" xfId="0" applyFont="1" applyFill="1" applyBorder="1" applyAlignment="1">
      <alignment horizontal="center"/>
    </xf>
    <xf numFmtId="166" fontId="27" fillId="37" borderId="11" xfId="67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50" fillId="0" borderId="0" xfId="54" applyFont="1" applyAlignment="1">
      <alignment horizontal="center"/>
      <protection/>
    </xf>
    <xf numFmtId="0" fontId="51" fillId="0" borderId="0" xfId="54" applyFont="1" applyFill="1" applyBorder="1" applyAlignment="1">
      <alignment horizontal="center" vertical="center"/>
      <protection/>
    </xf>
    <xf numFmtId="0" fontId="49" fillId="0" borderId="10" xfId="54" applyFont="1" applyBorder="1" applyAlignment="1">
      <alignment wrapText="1"/>
      <protection/>
    </xf>
    <xf numFmtId="0" fontId="49" fillId="0" borderId="10" xfId="54" applyFont="1" applyFill="1" applyBorder="1" applyAlignment="1">
      <alignment wrapText="1"/>
      <protection/>
    </xf>
    <xf numFmtId="0" fontId="49" fillId="0" borderId="11" xfId="54" applyFont="1" applyBorder="1">
      <alignment/>
      <protection/>
    </xf>
    <xf numFmtId="3" fontId="49" fillId="0" borderId="11" xfId="54" applyNumberFormat="1" applyFont="1" applyBorder="1">
      <alignment/>
      <protection/>
    </xf>
    <xf numFmtId="3" fontId="49" fillId="0" borderId="10" xfId="54" applyNumberFormat="1" applyFont="1" applyBorder="1">
      <alignment/>
      <protection/>
    </xf>
    <xf numFmtId="1" fontId="25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3" fillId="33" borderId="10" xfId="67" applyFont="1" applyFill="1" applyBorder="1" applyAlignment="1">
      <alignment horizontal="left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0" fillId="0" borderId="0" xfId="54" applyFont="1" applyAlignment="1">
      <alignment horizontal="center"/>
      <protection/>
    </xf>
    <xf numFmtId="0" fontId="49" fillId="0" borderId="0" xfId="54" applyFont="1" applyFill="1" applyBorder="1" applyAlignment="1">
      <alignment wrapText="1"/>
      <protection/>
    </xf>
    <xf numFmtId="3" fontId="49" fillId="0" borderId="0" xfId="54" applyNumberFormat="1" applyFont="1" applyBorder="1">
      <alignment/>
      <protection/>
    </xf>
    <xf numFmtId="3" fontId="52" fillId="0" borderId="16" xfId="0" applyNumberFormat="1" applyFont="1" applyBorder="1" applyAlignment="1">
      <alignment horizontal="center"/>
    </xf>
    <xf numFmtId="0" fontId="49" fillId="0" borderId="11" xfId="54" applyFont="1" applyBorder="1" applyAlignment="1">
      <alignment/>
      <protection/>
    </xf>
    <xf numFmtId="0" fontId="25" fillId="33" borderId="0" xfId="0" applyFont="1" applyFill="1" applyAlignment="1">
      <alignment/>
    </xf>
    <xf numFmtId="0" fontId="32" fillId="0" borderId="0" xfId="55" applyFont="1" applyBorder="1">
      <alignment/>
      <protection/>
    </xf>
    <xf numFmtId="0" fontId="35" fillId="0" borderId="0" xfId="55" applyFont="1" applyBorder="1">
      <alignment/>
      <protection/>
    </xf>
    <xf numFmtId="166" fontId="35" fillId="0" borderId="0" xfId="67" applyFont="1" applyBorder="1" applyAlignment="1">
      <alignment horizontal="center"/>
    </xf>
    <xf numFmtId="169" fontId="47" fillId="0" borderId="0" xfId="55" applyNumberFormat="1" applyFont="1" applyFill="1" applyBorder="1" applyAlignment="1">
      <alignment horizontal="center"/>
      <protection/>
    </xf>
    <xf numFmtId="169" fontId="33" fillId="0" borderId="0" xfId="55" applyNumberFormat="1" applyFont="1" applyFill="1" applyBorder="1" applyAlignment="1">
      <alignment horizontal="center"/>
      <protection/>
    </xf>
    <xf numFmtId="0" fontId="33" fillId="0" borderId="0" xfId="55" applyFont="1" applyBorder="1">
      <alignment/>
      <protection/>
    </xf>
    <xf numFmtId="166" fontId="33" fillId="0" borderId="0" xfId="67" applyFont="1" applyBorder="1" applyAlignment="1">
      <alignment horizontal="center"/>
    </xf>
    <xf numFmtId="0" fontId="7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166" fontId="17" fillId="0" borderId="0" xfId="67" applyFont="1" applyBorder="1" applyAlignment="1">
      <alignment horizontal="center"/>
    </xf>
    <xf numFmtId="169" fontId="17" fillId="0" borderId="0" xfId="55" applyNumberFormat="1" applyFont="1" applyFill="1" applyBorder="1" applyAlignment="1">
      <alignment horizontal="center"/>
      <protection/>
    </xf>
    <xf numFmtId="169" fontId="8" fillId="0" borderId="0" xfId="55" applyNumberFormat="1" applyFont="1" applyFill="1" applyBorder="1" applyAlignment="1">
      <alignment horizontal="center"/>
      <protection/>
    </xf>
    <xf numFmtId="3" fontId="17" fillId="0" borderId="0" xfId="55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 horizontal="center"/>
    </xf>
    <xf numFmtId="0" fontId="8" fillId="0" borderId="0" xfId="55" applyFont="1" applyBorder="1">
      <alignment/>
      <protection/>
    </xf>
    <xf numFmtId="166" fontId="7" fillId="0" borderId="0" xfId="67" applyFont="1" applyBorder="1" applyAlignment="1">
      <alignment horizontal="center"/>
    </xf>
    <xf numFmtId="169" fontId="3" fillId="0" borderId="0" xfId="55" applyNumberFormat="1" applyFont="1" applyFill="1" applyBorder="1" applyAlignment="1">
      <alignment horizontal="center"/>
      <protection/>
    </xf>
    <xf numFmtId="3" fontId="33" fillId="0" borderId="0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54" fillId="0" borderId="0" xfId="0" applyFont="1" applyAlignment="1">
      <alignment/>
    </xf>
    <xf numFmtId="168" fontId="25" fillId="33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2" fontId="0" fillId="0" borderId="0" xfId="0" applyNumberFormat="1" applyAlignment="1">
      <alignment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6" fontId="6" fillId="34" borderId="10" xfId="67" applyFont="1" applyFill="1" applyBorder="1" applyAlignment="1">
      <alignment horizontal="center"/>
    </xf>
    <xf numFmtId="166" fontId="6" fillId="0" borderId="10" xfId="67" applyFont="1" applyBorder="1" applyAlignment="1">
      <alignment horizontal="left"/>
    </xf>
    <xf numFmtId="166" fontId="6" fillId="34" borderId="10" xfId="67" applyFont="1" applyFill="1" applyBorder="1" applyAlignment="1">
      <alignment horizontal="left"/>
    </xf>
    <xf numFmtId="166" fontId="3" fillId="0" borderId="10" xfId="67" applyFont="1" applyBorder="1" applyAlignment="1">
      <alignment horizontal="left" wrapText="1"/>
    </xf>
    <xf numFmtId="166" fontId="3" fillId="0" borderId="10" xfId="67" applyFont="1" applyFill="1" applyBorder="1" applyAlignment="1">
      <alignment horizontal="left"/>
    </xf>
    <xf numFmtId="3" fontId="3" fillId="0" borderId="10" xfId="55" applyNumberFormat="1" applyFont="1" applyFill="1" applyBorder="1" applyAlignment="1">
      <alignment horizontal="center"/>
      <protection/>
    </xf>
    <xf numFmtId="168" fontId="27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66" fontId="27" fillId="0" borderId="10" xfId="67" applyFont="1" applyBorder="1" applyAlignment="1">
      <alignment wrapText="1"/>
    </xf>
    <xf numFmtId="166" fontId="27" fillId="35" borderId="10" xfId="67" applyFont="1" applyFill="1" applyBorder="1" applyAlignment="1">
      <alignment/>
    </xf>
    <xf numFmtId="166" fontId="27" fillId="35" borderId="11" xfId="67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66" fontId="27" fillId="0" borderId="10" xfId="67" applyFont="1" applyBorder="1" applyAlignment="1">
      <alignment horizontal="left"/>
    </xf>
    <xf numFmtId="0" fontId="25" fillId="33" borderId="10" xfId="0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166" fontId="27" fillId="33" borderId="11" xfId="67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49" fillId="0" borderId="0" xfId="54" applyFont="1" applyBorder="1" applyAlignment="1">
      <alignment wrapText="1"/>
      <protection/>
    </xf>
    <xf numFmtId="2" fontId="49" fillId="0" borderId="0" xfId="54" applyNumberFormat="1" applyFont="1" applyBorder="1">
      <alignment/>
      <protection/>
    </xf>
    <xf numFmtId="1" fontId="25" fillId="0" borderId="10" xfId="0" applyNumberFormat="1" applyFont="1" applyBorder="1" applyAlignment="1">
      <alignment horizontal="center" vertical="center"/>
    </xf>
    <xf numFmtId="0" fontId="27" fillId="0" borderId="12" xfId="55" applyFont="1" applyBorder="1" applyAlignment="1">
      <alignment horizontal="center"/>
      <protection/>
    </xf>
    <xf numFmtId="0" fontId="27" fillId="0" borderId="10" xfId="55" applyFont="1" applyFill="1" applyBorder="1" applyAlignment="1">
      <alignment horizontal="center"/>
      <protection/>
    </xf>
    <xf numFmtId="170" fontId="0" fillId="0" borderId="10" xfId="0" applyNumberFormat="1" applyFont="1" applyBorder="1" applyAlignment="1">
      <alignment/>
    </xf>
    <xf numFmtId="1" fontId="3" fillId="0" borderId="10" xfId="55" applyNumberFormat="1" applyFont="1" applyBorder="1" applyAlignment="1">
      <alignment horizontal="center"/>
      <protection/>
    </xf>
    <xf numFmtId="170" fontId="27" fillId="34" borderId="10" xfId="67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27" fillId="0" borderId="13" xfId="63" applyNumberFormat="1" applyFont="1" applyFill="1" applyBorder="1" applyAlignment="1">
      <alignment wrapText="1"/>
    </xf>
    <xf numFmtId="0" fontId="57" fillId="0" borderId="0" xfId="0" applyFont="1" applyAlignment="1">
      <alignment/>
    </xf>
    <xf numFmtId="2" fontId="25" fillId="35" borderId="10" xfId="0" applyNumberFormat="1" applyFont="1" applyFill="1" applyBorder="1" applyAlignment="1">
      <alignment/>
    </xf>
    <xf numFmtId="174" fontId="44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166" fontId="45" fillId="0" borderId="10" xfId="67" applyFont="1" applyBorder="1" applyAlignment="1">
      <alignment horizontal="center"/>
    </xf>
    <xf numFmtId="168" fontId="3" fillId="0" borderId="10" xfId="55" applyNumberFormat="1" applyFont="1" applyFill="1" applyBorder="1" applyAlignment="1">
      <alignment horizontal="center"/>
      <protection/>
    </xf>
    <xf numFmtId="0" fontId="43" fillId="0" borderId="10" xfId="55" applyFont="1" applyBorder="1" applyAlignment="1">
      <alignment horizontal="center"/>
      <protection/>
    </xf>
    <xf numFmtId="174" fontId="42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168" fontId="25" fillId="38" borderId="10" xfId="0" applyNumberFormat="1" applyFont="1" applyFill="1" applyBorder="1" applyAlignment="1">
      <alignment horizontal="center"/>
    </xf>
    <xf numFmtId="170" fontId="25" fillId="38" borderId="10" xfId="0" applyNumberFormat="1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58" fillId="0" borderId="10" xfId="0" applyNumberFormat="1" applyFont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3" fillId="33" borderId="10" xfId="55" applyFont="1" applyFill="1" applyBorder="1" applyAlignment="1">
      <alignment horizontal="center"/>
      <protection/>
    </xf>
    <xf numFmtId="0" fontId="3" fillId="33" borderId="10" xfId="55" applyFont="1" applyFill="1" applyBorder="1">
      <alignment/>
      <protection/>
    </xf>
    <xf numFmtId="3" fontId="0" fillId="0" borderId="1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69" fontId="6" fillId="34" borderId="10" xfId="67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49" fontId="44" fillId="0" borderId="10" xfId="67" applyNumberFormat="1" applyFont="1" applyBorder="1" applyAlignment="1">
      <alignment horizontal="center"/>
    </xf>
    <xf numFmtId="166" fontId="44" fillId="0" borderId="11" xfId="67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81" fontId="53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44" fillId="0" borderId="10" xfId="55" applyFont="1" applyBorder="1" applyAlignment="1">
      <alignment horizontal="center"/>
      <protection/>
    </xf>
    <xf numFmtId="180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" fontId="44" fillId="0" borderId="10" xfId="55" applyNumberFormat="1" applyFont="1" applyBorder="1">
      <alignment/>
      <protection/>
    </xf>
    <xf numFmtId="166" fontId="44" fillId="0" borderId="10" xfId="67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/>
    </xf>
    <xf numFmtId="170" fontId="44" fillId="0" borderId="14" xfId="0" applyNumberFormat="1" applyFont="1" applyBorder="1" applyAlignment="1">
      <alignment/>
    </xf>
    <xf numFmtId="0" fontId="44" fillId="0" borderId="15" xfId="0" applyFont="1" applyFill="1" applyBorder="1" applyAlignment="1">
      <alignment/>
    </xf>
    <xf numFmtId="170" fontId="44" fillId="0" borderId="11" xfId="0" applyNumberFormat="1" applyFont="1" applyFill="1" applyBorder="1" applyAlignment="1">
      <alignment/>
    </xf>
    <xf numFmtId="0" fontId="44" fillId="0" borderId="13" xfId="0" applyFont="1" applyFill="1" applyBorder="1" applyAlignment="1">
      <alignment/>
    </xf>
    <xf numFmtId="170" fontId="44" fillId="0" borderId="14" xfId="0" applyNumberFormat="1" applyFont="1" applyFill="1" applyBorder="1" applyAlignment="1">
      <alignment/>
    </xf>
    <xf numFmtId="170" fontId="44" fillId="0" borderId="10" xfId="0" applyNumberFormat="1" applyFont="1" applyFill="1" applyBorder="1" applyAlignment="1">
      <alignment/>
    </xf>
    <xf numFmtId="168" fontId="44" fillId="0" borderId="0" xfId="0" applyNumberFormat="1" applyFont="1" applyFill="1" applyBorder="1" applyAlignment="1">
      <alignment/>
    </xf>
    <xf numFmtId="170" fontId="59" fillId="0" borderId="0" xfId="0" applyNumberFormat="1" applyFont="1" applyBorder="1" applyAlignment="1">
      <alignment/>
    </xf>
    <xf numFmtId="170" fontId="59" fillId="0" borderId="10" xfId="0" applyNumberFormat="1" applyFont="1" applyBorder="1" applyAlignment="1">
      <alignment/>
    </xf>
    <xf numFmtId="0" fontId="44" fillId="0" borderId="13" xfId="0" applyFont="1" applyFill="1" applyBorder="1" applyAlignment="1">
      <alignment horizontal="right"/>
    </xf>
    <xf numFmtId="170" fontId="44" fillId="0" borderId="14" xfId="0" applyNumberFormat="1" applyFont="1" applyBorder="1" applyAlignment="1">
      <alignment horizontal="right"/>
    </xf>
    <xf numFmtId="0" fontId="44" fillId="0" borderId="15" xfId="0" applyFont="1" applyFill="1" applyBorder="1" applyAlignment="1">
      <alignment horizontal="right"/>
    </xf>
    <xf numFmtId="170" fontId="44" fillId="0" borderId="10" xfId="0" applyNumberFormat="1" applyFont="1" applyFill="1" applyBorder="1" applyAlignment="1">
      <alignment horizontal="right"/>
    </xf>
    <xf numFmtId="169" fontId="60" fillId="0" borderId="10" xfId="55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49" fontId="61" fillId="0" borderId="10" xfId="67" applyNumberFormat="1" applyFont="1" applyBorder="1" applyAlignment="1">
      <alignment horizontal="center"/>
    </xf>
    <xf numFmtId="166" fontId="62" fillId="0" borderId="10" xfId="67" applyFont="1" applyBorder="1" applyAlignment="1">
      <alignment wrapText="1"/>
    </xf>
    <xf numFmtId="166" fontId="61" fillId="0" borderId="11" xfId="67" applyFont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1" fontId="61" fillId="0" borderId="10" xfId="0" applyNumberFormat="1" applyFont="1" applyBorder="1" applyAlignment="1">
      <alignment horizontal="center" vertical="center"/>
    </xf>
    <xf numFmtId="181" fontId="61" fillId="0" borderId="10" xfId="0" applyNumberFormat="1" applyFont="1" applyBorder="1" applyAlignment="1">
      <alignment horizontal="center"/>
    </xf>
    <xf numFmtId="166" fontId="62" fillId="0" borderId="10" xfId="67" applyFont="1" applyBorder="1" applyAlignment="1">
      <alignment/>
    </xf>
    <xf numFmtId="166" fontId="61" fillId="0" borderId="10" xfId="67" applyFont="1" applyBorder="1" applyAlignment="1">
      <alignment/>
    </xf>
    <xf numFmtId="170" fontId="44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166" fontId="45" fillId="0" borderId="10" xfId="67" applyFont="1" applyBorder="1" applyAlignment="1">
      <alignment horizontal="left"/>
    </xf>
    <xf numFmtId="2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170" fontId="44" fillId="0" borderId="10" xfId="0" applyNumberFormat="1" applyFont="1" applyBorder="1" applyAlignment="1">
      <alignment/>
    </xf>
    <xf numFmtId="169" fontId="45" fillId="0" borderId="10" xfId="55" applyNumberFormat="1" applyFont="1" applyFill="1" applyBorder="1" applyAlignment="1">
      <alignment horizontal="center"/>
      <protection/>
    </xf>
    <xf numFmtId="181" fontId="44" fillId="0" borderId="10" xfId="0" applyNumberFormat="1" applyFont="1" applyBorder="1" applyAlignment="1">
      <alignment horizontal="center"/>
    </xf>
    <xf numFmtId="168" fontId="44" fillId="0" borderId="10" xfId="55" applyNumberFormat="1" applyFont="1" applyBorder="1" applyAlignment="1">
      <alignment horizontal="center"/>
      <protection/>
    </xf>
    <xf numFmtId="180" fontId="44" fillId="0" borderId="10" xfId="0" applyNumberFormat="1" applyFont="1" applyBorder="1" applyAlignment="1">
      <alignment horizontal="center"/>
    </xf>
    <xf numFmtId="170" fontId="44" fillId="0" borderId="11" xfId="0" applyNumberFormat="1" applyFont="1" applyFill="1" applyBorder="1" applyAlignment="1">
      <alignment horizontal="right"/>
    </xf>
    <xf numFmtId="170" fontId="44" fillId="0" borderId="14" xfId="0" applyNumberFormat="1" applyFont="1" applyFill="1" applyBorder="1" applyAlignment="1">
      <alignment horizontal="right"/>
    </xf>
    <xf numFmtId="170" fontId="44" fillId="0" borderId="0" xfId="0" applyNumberFormat="1" applyFont="1" applyFill="1" applyBorder="1" applyAlignment="1">
      <alignment horizontal="right"/>
    </xf>
    <xf numFmtId="49" fontId="45" fillId="0" borderId="10" xfId="67" applyNumberFormat="1" applyFont="1" applyBorder="1" applyAlignment="1">
      <alignment horizontal="center"/>
    </xf>
    <xf numFmtId="166" fontId="45" fillId="0" borderId="11" xfId="67" applyFont="1" applyBorder="1" applyAlignment="1">
      <alignment horizontal="center"/>
    </xf>
    <xf numFmtId="0" fontId="45" fillId="0" borderId="10" xfId="55" applyFont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180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55" applyFont="1" applyBorder="1">
      <alignment/>
      <protection/>
    </xf>
    <xf numFmtId="1" fontId="45" fillId="0" borderId="10" xfId="0" applyNumberFormat="1" applyFont="1" applyBorder="1" applyAlignment="1">
      <alignment horizontal="center"/>
    </xf>
    <xf numFmtId="168" fontId="45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170" fontId="45" fillId="0" borderId="14" xfId="0" applyNumberFormat="1" applyFont="1" applyBorder="1" applyAlignment="1">
      <alignment/>
    </xf>
    <xf numFmtId="0" fontId="45" fillId="0" borderId="15" xfId="0" applyFont="1" applyFill="1" applyBorder="1" applyAlignment="1">
      <alignment/>
    </xf>
    <xf numFmtId="170" fontId="45" fillId="0" borderId="11" xfId="0" applyNumberFormat="1" applyFont="1" applyFill="1" applyBorder="1" applyAlignment="1">
      <alignment/>
    </xf>
    <xf numFmtId="0" fontId="45" fillId="0" borderId="13" xfId="0" applyFont="1" applyFill="1" applyBorder="1" applyAlignment="1">
      <alignment/>
    </xf>
    <xf numFmtId="170" fontId="45" fillId="0" borderId="14" xfId="0" applyNumberFormat="1" applyFont="1" applyFill="1" applyBorder="1" applyAlignment="1">
      <alignment/>
    </xf>
    <xf numFmtId="170" fontId="45" fillId="0" borderId="10" xfId="0" applyNumberFormat="1" applyFont="1" applyFill="1" applyBorder="1" applyAlignment="1">
      <alignment/>
    </xf>
    <xf numFmtId="170" fontId="45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170" fontId="45" fillId="0" borderId="10" xfId="0" applyNumberFormat="1" applyFont="1" applyBorder="1" applyAlignment="1">
      <alignment/>
    </xf>
    <xf numFmtId="169" fontId="63" fillId="0" borderId="10" xfId="55" applyNumberFormat="1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166" fontId="63" fillId="0" borderId="11" xfId="67" applyFont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0" fontId="63" fillId="0" borderId="13" xfId="0" applyFont="1" applyBorder="1" applyAlignment="1">
      <alignment/>
    </xf>
    <xf numFmtId="170" fontId="63" fillId="0" borderId="14" xfId="0" applyNumberFormat="1" applyFont="1" applyBorder="1" applyAlignment="1">
      <alignment/>
    </xf>
    <xf numFmtId="0" fontId="63" fillId="0" borderId="15" xfId="0" applyFont="1" applyFill="1" applyBorder="1" applyAlignment="1">
      <alignment/>
    </xf>
    <xf numFmtId="170" fontId="63" fillId="0" borderId="11" xfId="0" applyNumberFormat="1" applyFont="1" applyFill="1" applyBorder="1" applyAlignment="1">
      <alignment/>
    </xf>
    <xf numFmtId="0" fontId="63" fillId="0" borderId="13" xfId="0" applyFont="1" applyFill="1" applyBorder="1" applyAlignment="1">
      <alignment/>
    </xf>
    <xf numFmtId="170" fontId="63" fillId="0" borderId="14" xfId="0" applyNumberFormat="1" applyFont="1" applyFill="1" applyBorder="1" applyAlignment="1">
      <alignment/>
    </xf>
    <xf numFmtId="170" fontId="63" fillId="0" borderId="10" xfId="0" applyNumberFormat="1" applyFont="1" applyFill="1" applyBorder="1" applyAlignment="1">
      <alignment/>
    </xf>
    <xf numFmtId="168" fontId="63" fillId="0" borderId="0" xfId="0" applyNumberFormat="1" applyFont="1" applyFill="1" applyBorder="1" applyAlignment="1">
      <alignment/>
    </xf>
    <xf numFmtId="170" fontId="63" fillId="0" borderId="0" xfId="0" applyNumberFormat="1" applyFont="1" applyBorder="1" applyAlignment="1">
      <alignment/>
    </xf>
    <xf numFmtId="0" fontId="63" fillId="0" borderId="10" xfId="55" applyFont="1" applyBorder="1" applyAlignment="1">
      <alignment horizontal="center"/>
      <protection/>
    </xf>
    <xf numFmtId="170" fontId="63" fillId="0" borderId="10" xfId="0" applyNumberFormat="1" applyFont="1" applyBorder="1" applyAlignment="1">
      <alignment/>
    </xf>
    <xf numFmtId="49" fontId="62" fillId="0" borderId="10" xfId="67" applyNumberFormat="1" applyFont="1" applyBorder="1" applyAlignment="1">
      <alignment horizontal="center"/>
    </xf>
    <xf numFmtId="166" fontId="62" fillId="0" borderId="11" xfId="67" applyFont="1" applyBorder="1" applyAlignment="1">
      <alignment horizontal="center"/>
    </xf>
    <xf numFmtId="3" fontId="62" fillId="0" borderId="10" xfId="0" applyNumberFormat="1" applyFont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181" fontId="62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169" fontId="62" fillId="0" borderId="10" xfId="55" applyNumberFormat="1" applyFont="1" applyFill="1" applyBorder="1" applyAlignment="1">
      <alignment horizontal="center"/>
      <protection/>
    </xf>
    <xf numFmtId="0" fontId="62" fillId="0" borderId="13" xfId="0" applyFont="1" applyBorder="1" applyAlignment="1">
      <alignment/>
    </xf>
    <xf numFmtId="170" fontId="62" fillId="0" borderId="14" xfId="0" applyNumberFormat="1" applyFont="1" applyBorder="1" applyAlignment="1">
      <alignment/>
    </xf>
    <xf numFmtId="0" fontId="62" fillId="0" borderId="15" xfId="0" applyFont="1" applyFill="1" applyBorder="1" applyAlignment="1">
      <alignment/>
    </xf>
    <xf numFmtId="170" fontId="62" fillId="0" borderId="11" xfId="0" applyNumberFormat="1" applyFont="1" applyFill="1" applyBorder="1" applyAlignment="1">
      <alignment/>
    </xf>
    <xf numFmtId="0" fontId="62" fillId="0" borderId="13" xfId="0" applyFont="1" applyFill="1" applyBorder="1" applyAlignment="1">
      <alignment/>
    </xf>
    <xf numFmtId="170" fontId="62" fillId="0" borderId="14" xfId="0" applyNumberFormat="1" applyFont="1" applyFill="1" applyBorder="1" applyAlignment="1">
      <alignment/>
    </xf>
    <xf numFmtId="170" fontId="62" fillId="0" borderId="10" xfId="0" applyNumberFormat="1" applyFont="1" applyFill="1" applyBorder="1" applyAlignment="1">
      <alignment/>
    </xf>
    <xf numFmtId="168" fontId="62" fillId="0" borderId="0" xfId="0" applyNumberFormat="1" applyFont="1" applyFill="1" applyBorder="1" applyAlignment="1">
      <alignment/>
    </xf>
    <xf numFmtId="170" fontId="62" fillId="0" borderId="0" xfId="0" applyNumberFormat="1" applyFont="1" applyBorder="1" applyAlignment="1">
      <alignment/>
    </xf>
    <xf numFmtId="0" fontId="62" fillId="0" borderId="10" xfId="55" applyFont="1" applyBorder="1" applyAlignment="1">
      <alignment horizontal="center"/>
      <protection/>
    </xf>
    <xf numFmtId="170" fontId="6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44" fillId="34" borderId="10" xfId="0" applyNumberFormat="1" applyFont="1" applyFill="1" applyBorder="1" applyAlignment="1">
      <alignment horizontal="center"/>
    </xf>
    <xf numFmtId="2" fontId="25" fillId="39" borderId="10" xfId="0" applyNumberFormat="1" applyFont="1" applyFill="1" applyBorder="1" applyAlignment="1">
      <alignment/>
    </xf>
    <xf numFmtId="0" fontId="27" fillId="35" borderId="10" xfId="0" applyFont="1" applyFill="1" applyBorder="1" applyAlignment="1">
      <alignment/>
    </xf>
    <xf numFmtId="3" fontId="27" fillId="0" borderId="10" xfId="0" applyNumberFormat="1" applyFont="1" applyBorder="1" applyAlignment="1">
      <alignment horizontal="center"/>
    </xf>
    <xf numFmtId="181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53" fillId="0" borderId="10" xfId="0" applyNumberFormat="1" applyFont="1" applyBorder="1" applyAlignment="1">
      <alignment horizontal="center"/>
    </xf>
    <xf numFmtId="2" fontId="25" fillId="39" borderId="10" xfId="0" applyNumberFormat="1" applyFont="1" applyFill="1" applyBorder="1" applyAlignment="1">
      <alignment horizontal="center"/>
    </xf>
    <xf numFmtId="168" fontId="25" fillId="39" borderId="10" xfId="0" applyNumberFormat="1" applyFont="1" applyFill="1" applyBorder="1" applyAlignment="1">
      <alignment horizontal="center"/>
    </xf>
    <xf numFmtId="174" fontId="45" fillId="0" borderId="10" xfId="0" applyNumberFormat="1" applyFont="1" applyBorder="1" applyAlignment="1">
      <alignment horizontal="center"/>
    </xf>
    <xf numFmtId="2" fontId="25" fillId="35" borderId="10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/>
    </xf>
    <xf numFmtId="168" fontId="25" fillId="35" borderId="10" xfId="0" applyNumberFormat="1" applyFont="1" applyFill="1" applyBorder="1" applyAlignment="1">
      <alignment horizontal="center"/>
    </xf>
    <xf numFmtId="170" fontId="25" fillId="39" borderId="10" xfId="0" applyNumberFormat="1" applyFont="1" applyFill="1" applyBorder="1" applyAlignment="1">
      <alignment horizontal="center"/>
    </xf>
    <xf numFmtId="0" fontId="25" fillId="35" borderId="0" xfId="0" applyFont="1" applyFill="1" applyAlignment="1">
      <alignment/>
    </xf>
    <xf numFmtId="3" fontId="44" fillId="35" borderId="10" xfId="0" applyNumberFormat="1" applyFont="1" applyFill="1" applyBorder="1" applyAlignment="1">
      <alignment horizontal="center"/>
    </xf>
    <xf numFmtId="1" fontId="25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2" fontId="61" fillId="33" borderId="10" xfId="0" applyNumberFormat="1" applyFont="1" applyFill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166" fontId="27" fillId="0" borderId="10" xfId="67" applyFont="1" applyFill="1" applyBorder="1" applyAlignment="1">
      <alignment horizontal="left"/>
    </xf>
    <xf numFmtId="2" fontId="61" fillId="0" borderId="10" xfId="0" applyNumberFormat="1" applyFont="1" applyFill="1" applyBorder="1" applyAlignment="1">
      <alignment horizontal="center"/>
    </xf>
    <xf numFmtId="2" fontId="25" fillId="38" borderId="10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" fontId="25" fillId="39" borderId="10" xfId="0" applyNumberFormat="1" applyFont="1" applyFill="1" applyBorder="1" applyAlignment="1">
      <alignment horizontal="center"/>
    </xf>
    <xf numFmtId="166" fontId="45" fillId="0" borderId="10" xfId="67" applyFont="1" applyBorder="1" applyAlignment="1">
      <alignment/>
    </xf>
    <xf numFmtId="166" fontId="45" fillId="0" borderId="10" xfId="67" applyFont="1" applyBorder="1" applyAlignment="1">
      <alignment/>
    </xf>
    <xf numFmtId="169" fontId="45" fillId="33" borderId="10" xfId="0" applyNumberFormat="1" applyFont="1" applyFill="1" applyBorder="1" applyAlignment="1">
      <alignment horizontal="center"/>
    </xf>
    <xf numFmtId="181" fontId="45" fillId="0" borderId="10" xfId="0" applyNumberFormat="1" applyFont="1" applyBorder="1" applyAlignment="1">
      <alignment horizontal="center"/>
    </xf>
    <xf numFmtId="169" fontId="45" fillId="0" borderId="10" xfId="0" applyNumberFormat="1" applyFont="1" applyFill="1" applyBorder="1" applyAlignment="1">
      <alignment horizontal="center"/>
    </xf>
    <xf numFmtId="174" fontId="45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25" fillId="40" borderId="10" xfId="0" applyNumberFormat="1" applyFont="1" applyFill="1" applyBorder="1" applyAlignment="1">
      <alignment horizontal="center"/>
    </xf>
    <xf numFmtId="197" fontId="64" fillId="40" borderId="10" xfId="63" applyNumberFormat="1" applyFont="1" applyFill="1" applyBorder="1" applyAlignment="1">
      <alignment horizontal="center"/>
    </xf>
    <xf numFmtId="197" fontId="64" fillId="0" borderId="10" xfId="63" applyNumberFormat="1" applyFont="1" applyBorder="1" applyAlignment="1">
      <alignment horizontal="center"/>
    </xf>
    <xf numFmtId="168" fontId="3" fillId="40" borderId="10" xfId="55" applyNumberFormat="1" applyFont="1" applyFill="1" applyBorder="1" applyAlignment="1">
      <alignment horizontal="center"/>
      <protection/>
    </xf>
    <xf numFmtId="2" fontId="25" fillId="40" borderId="1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170" fontId="27" fillId="0" borderId="14" xfId="0" applyNumberFormat="1" applyFont="1" applyBorder="1" applyAlignment="1">
      <alignment/>
    </xf>
    <xf numFmtId="0" fontId="27" fillId="0" borderId="15" xfId="0" applyFont="1" applyFill="1" applyBorder="1" applyAlignment="1">
      <alignment/>
    </xf>
    <xf numFmtId="170" fontId="27" fillId="0" borderId="11" xfId="0" applyNumberFormat="1" applyFont="1" applyFill="1" applyBorder="1" applyAlignment="1">
      <alignment/>
    </xf>
    <xf numFmtId="0" fontId="27" fillId="0" borderId="13" xfId="0" applyFont="1" applyFill="1" applyBorder="1" applyAlignment="1">
      <alignment/>
    </xf>
    <xf numFmtId="170" fontId="27" fillId="0" borderId="14" xfId="0" applyNumberFormat="1" applyFont="1" applyFill="1" applyBorder="1" applyAlignment="1">
      <alignment/>
    </xf>
    <xf numFmtId="170" fontId="27" fillId="0" borderId="10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170" fontId="11" fillId="0" borderId="0" xfId="0" applyNumberFormat="1" applyFont="1" applyBorder="1" applyAlignment="1">
      <alignment/>
    </xf>
    <xf numFmtId="170" fontId="27" fillId="0" borderId="10" xfId="0" applyNumberFormat="1" applyFont="1" applyBorder="1" applyAlignment="1">
      <alignment/>
    </xf>
    <xf numFmtId="168" fontId="27" fillId="0" borderId="10" xfId="55" applyNumberFormat="1" applyFont="1" applyBorder="1" applyAlignment="1">
      <alignment horizontal="center"/>
      <protection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2" fontId="65" fillId="35" borderId="10" xfId="0" applyNumberFormat="1" applyFont="1" applyFill="1" applyBorder="1" applyAlignment="1">
      <alignment/>
    </xf>
    <xf numFmtId="166" fontId="65" fillId="0" borderId="11" xfId="67" applyFont="1" applyBorder="1" applyAlignment="1">
      <alignment horizontal="center"/>
    </xf>
    <xf numFmtId="166" fontId="65" fillId="0" borderId="10" xfId="67" applyFont="1" applyBorder="1" applyAlignment="1">
      <alignment/>
    </xf>
    <xf numFmtId="0" fontId="66" fillId="0" borderId="0" xfId="0" applyFont="1" applyAlignment="1">
      <alignment/>
    </xf>
    <xf numFmtId="0" fontId="31" fillId="0" borderId="10" xfId="0" applyFont="1" applyBorder="1" applyAlignment="1">
      <alignment/>
    </xf>
    <xf numFmtId="2" fontId="31" fillId="35" borderId="10" xfId="0" applyNumberFormat="1" applyFont="1" applyFill="1" applyBorder="1" applyAlignment="1">
      <alignment/>
    </xf>
    <xf numFmtId="170" fontId="12" fillId="0" borderId="10" xfId="0" applyNumberFormat="1" applyFont="1" applyBorder="1" applyAlignment="1">
      <alignment/>
    </xf>
    <xf numFmtId="49" fontId="31" fillId="0" borderId="10" xfId="67" applyNumberFormat="1" applyFont="1" applyBorder="1" applyAlignment="1">
      <alignment horizontal="center"/>
    </xf>
    <xf numFmtId="166" fontId="31" fillId="0" borderId="10" xfId="67" applyFont="1" applyBorder="1" applyAlignment="1">
      <alignment horizontal="left"/>
    </xf>
    <xf numFmtId="166" fontId="31" fillId="0" borderId="11" xfId="67" applyFont="1" applyBorder="1" applyAlignment="1">
      <alignment horizontal="center"/>
    </xf>
    <xf numFmtId="168" fontId="31" fillId="33" borderId="10" xfId="0" applyNumberFormat="1" applyFont="1" applyFill="1" applyBorder="1" applyAlignment="1">
      <alignment horizontal="center"/>
    </xf>
    <xf numFmtId="168" fontId="31" fillId="0" borderId="13" xfId="0" applyNumberFormat="1" applyFont="1" applyFill="1" applyBorder="1" applyAlignment="1">
      <alignment horizontal="right"/>
    </xf>
    <xf numFmtId="170" fontId="31" fillId="0" borderId="14" xfId="0" applyNumberFormat="1" applyFont="1" applyBorder="1" applyAlignment="1">
      <alignment horizontal="right"/>
    </xf>
    <xf numFmtId="168" fontId="31" fillId="0" borderId="15" xfId="0" applyNumberFormat="1" applyFont="1" applyFill="1" applyBorder="1" applyAlignment="1">
      <alignment horizontal="right"/>
    </xf>
    <xf numFmtId="168" fontId="31" fillId="0" borderId="10" xfId="55" applyNumberFormat="1" applyFont="1" applyBorder="1" applyAlignment="1">
      <alignment horizontal="center"/>
      <protection/>
    </xf>
    <xf numFmtId="2" fontId="31" fillId="0" borderId="10" xfId="0" applyNumberFormat="1" applyFont="1" applyBorder="1" applyAlignment="1">
      <alignment/>
    </xf>
    <xf numFmtId="0" fontId="31" fillId="0" borderId="10" xfId="55" applyFont="1" applyBorder="1" applyAlignment="1">
      <alignment horizontal="center"/>
      <protection/>
    </xf>
    <xf numFmtId="174" fontId="31" fillId="0" borderId="10" xfId="0" applyNumberFormat="1" applyFont="1" applyBorder="1" applyAlignment="1">
      <alignment horizontal="center"/>
    </xf>
    <xf numFmtId="168" fontId="31" fillId="0" borderId="10" xfId="0" applyNumberFormat="1" applyFont="1" applyBorder="1" applyAlignment="1">
      <alignment horizontal="center"/>
    </xf>
    <xf numFmtId="0" fontId="31" fillId="33" borderId="0" xfId="0" applyFont="1" applyFill="1" applyAlignment="1">
      <alignment/>
    </xf>
    <xf numFmtId="1" fontId="63" fillId="0" borderId="10" xfId="0" applyNumberFormat="1" applyFont="1" applyFill="1" applyBorder="1" applyAlignment="1">
      <alignment horizontal="center"/>
    </xf>
    <xf numFmtId="49" fontId="3" fillId="0" borderId="10" xfId="67" applyNumberFormat="1" applyFont="1" applyFill="1" applyBorder="1" applyAlignment="1">
      <alignment horizontal="center"/>
    </xf>
    <xf numFmtId="166" fontId="3" fillId="0" borderId="10" xfId="67" applyFont="1" applyFill="1" applyBorder="1" applyAlignment="1">
      <alignment/>
    </xf>
    <xf numFmtId="166" fontId="3" fillId="0" borderId="11" xfId="67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74" fontId="66" fillId="0" borderId="10" xfId="0" applyNumberFormat="1" applyFont="1" applyBorder="1" applyAlignment="1">
      <alignment horizontal="center"/>
    </xf>
    <xf numFmtId="3" fontId="61" fillId="0" borderId="0" xfId="0" applyNumberFormat="1" applyFont="1" applyAlignment="1">
      <alignment/>
    </xf>
    <xf numFmtId="3" fontId="44" fillId="0" borderId="10" xfId="55" applyNumberFormat="1" applyFont="1" applyFill="1" applyBorder="1" applyAlignment="1">
      <alignment horizontal="center"/>
      <protection/>
    </xf>
    <xf numFmtId="169" fontId="67" fillId="0" borderId="10" xfId="55" applyNumberFormat="1" applyFont="1" applyFill="1" applyBorder="1" applyAlignment="1">
      <alignment horizontal="center"/>
      <protection/>
    </xf>
    <xf numFmtId="3" fontId="40" fillId="0" borderId="10" xfId="0" applyNumberFormat="1" applyFont="1" applyBorder="1" applyAlignment="1">
      <alignment horizontal="center"/>
    </xf>
    <xf numFmtId="174" fontId="40" fillId="0" borderId="10" xfId="0" applyNumberFormat="1" applyFont="1" applyBorder="1" applyAlignment="1">
      <alignment horizontal="center"/>
    </xf>
    <xf numFmtId="3" fontId="8" fillId="0" borderId="10" xfId="55" applyNumberFormat="1" applyFont="1" applyFill="1" applyBorder="1" applyAlignment="1">
      <alignment horizontal="center"/>
      <protection/>
    </xf>
    <xf numFmtId="0" fontId="53" fillId="34" borderId="0" xfId="0" applyFont="1" applyFill="1" applyAlignment="1">
      <alignment/>
    </xf>
    <xf numFmtId="166" fontId="45" fillId="34" borderId="10" xfId="67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168" fontId="53" fillId="34" borderId="10" xfId="0" applyNumberFormat="1" applyFont="1" applyFill="1" applyBorder="1" applyAlignment="1">
      <alignment horizontal="center"/>
    </xf>
    <xf numFmtId="166" fontId="44" fillId="34" borderId="11" xfId="67" applyFont="1" applyFill="1" applyBorder="1" applyAlignment="1">
      <alignment horizontal="center"/>
    </xf>
    <xf numFmtId="1" fontId="53" fillId="34" borderId="10" xfId="0" applyNumberFormat="1" applyFont="1" applyFill="1" applyBorder="1" applyAlignment="1">
      <alignment horizontal="center"/>
    </xf>
    <xf numFmtId="1" fontId="53" fillId="34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/>
    </xf>
    <xf numFmtId="49" fontId="44" fillId="0" borderId="10" xfId="67" applyNumberFormat="1" applyFont="1" applyFill="1" applyBorder="1" applyAlignment="1">
      <alignment horizontal="center"/>
    </xf>
    <xf numFmtId="166" fontId="45" fillId="0" borderId="10" xfId="67" applyFont="1" applyFill="1" applyBorder="1" applyAlignment="1">
      <alignment horizontal="center"/>
    </xf>
    <xf numFmtId="166" fontId="44" fillId="0" borderId="11" xfId="67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166" fontId="62" fillId="0" borderId="10" xfId="67" applyFont="1" applyFill="1" applyBorder="1" applyAlignment="1">
      <alignment horizontal="left"/>
    </xf>
    <xf numFmtId="166" fontId="62" fillId="0" borderId="10" xfId="67" applyFont="1" applyBorder="1" applyAlignment="1">
      <alignment horizontal="left" vertical="top" wrapText="1"/>
    </xf>
    <xf numFmtId="166" fontId="68" fillId="0" borderId="11" xfId="67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169" fontId="69" fillId="0" borderId="10" xfId="0" applyNumberFormat="1" applyFont="1" applyFill="1" applyBorder="1" applyAlignment="1">
      <alignment horizontal="center"/>
    </xf>
    <xf numFmtId="3" fontId="69" fillId="0" borderId="10" xfId="0" applyNumberFormat="1" applyFont="1" applyBorder="1" applyAlignment="1">
      <alignment horizontal="center"/>
    </xf>
    <xf numFmtId="169" fontId="69" fillId="0" borderId="10" xfId="0" applyNumberFormat="1" applyFont="1" applyBorder="1" applyAlignment="1">
      <alignment horizontal="center"/>
    </xf>
    <xf numFmtId="0" fontId="69" fillId="0" borderId="10" xfId="55" applyFont="1" applyBorder="1" applyAlignment="1">
      <alignment horizontal="center"/>
      <protection/>
    </xf>
    <xf numFmtId="168" fontId="31" fillId="0" borderId="13" xfId="0" applyNumberFormat="1" applyFont="1" applyBorder="1" applyAlignment="1">
      <alignment/>
    </xf>
    <xf numFmtId="170" fontId="31" fillId="0" borderId="11" xfId="0" applyNumberFormat="1" applyFont="1" applyFill="1" applyBorder="1" applyAlignment="1">
      <alignment horizontal="right"/>
    </xf>
    <xf numFmtId="170" fontId="31" fillId="0" borderId="14" xfId="0" applyNumberFormat="1" applyFont="1" applyFill="1" applyBorder="1" applyAlignment="1">
      <alignment horizontal="right"/>
    </xf>
    <xf numFmtId="170" fontId="31" fillId="0" borderId="10" xfId="0" applyNumberFormat="1" applyFont="1" applyFill="1" applyBorder="1" applyAlignment="1">
      <alignment horizontal="right"/>
    </xf>
    <xf numFmtId="168" fontId="31" fillId="0" borderId="0" xfId="0" applyNumberFormat="1" applyFont="1" applyFill="1" applyBorder="1" applyAlignment="1">
      <alignment/>
    </xf>
    <xf numFmtId="170" fontId="12" fillId="0" borderId="0" xfId="0" applyNumberFormat="1" applyFont="1" applyBorder="1" applyAlignment="1">
      <alignment/>
    </xf>
    <xf numFmtId="170" fontId="31" fillId="0" borderId="14" xfId="0" applyNumberFormat="1" applyFont="1" applyBorder="1" applyAlignment="1">
      <alignment/>
    </xf>
    <xf numFmtId="168" fontId="31" fillId="0" borderId="15" xfId="0" applyNumberFormat="1" applyFont="1" applyFill="1" applyBorder="1" applyAlignment="1">
      <alignment/>
    </xf>
    <xf numFmtId="170" fontId="31" fillId="0" borderId="11" xfId="0" applyNumberFormat="1" applyFont="1" applyFill="1" applyBorder="1" applyAlignment="1">
      <alignment/>
    </xf>
    <xf numFmtId="168" fontId="31" fillId="0" borderId="13" xfId="0" applyNumberFormat="1" applyFont="1" applyFill="1" applyBorder="1" applyAlignment="1">
      <alignment/>
    </xf>
    <xf numFmtId="170" fontId="31" fillId="0" borderId="14" xfId="0" applyNumberFormat="1" applyFont="1" applyFill="1" applyBorder="1" applyAlignment="1">
      <alignment/>
    </xf>
    <xf numFmtId="170" fontId="31" fillId="0" borderId="10" xfId="0" applyNumberFormat="1" applyFont="1" applyFill="1" applyBorder="1" applyAlignment="1">
      <alignment/>
    </xf>
    <xf numFmtId="170" fontId="31" fillId="0" borderId="0" xfId="0" applyNumberFormat="1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70" fillId="0" borderId="0" xfId="0" applyFont="1" applyAlignment="1">
      <alignment/>
    </xf>
    <xf numFmtId="166" fontId="71" fillId="0" borderId="10" xfId="67" applyFont="1" applyBorder="1" applyAlignment="1">
      <alignment horizontal="left"/>
    </xf>
    <xf numFmtId="0" fontId="70" fillId="0" borderId="10" xfId="0" applyFont="1" applyBorder="1" applyAlignment="1">
      <alignment/>
    </xf>
    <xf numFmtId="168" fontId="70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13" xfId="0" applyFont="1" applyBorder="1" applyAlignment="1">
      <alignment/>
    </xf>
    <xf numFmtId="170" fontId="71" fillId="0" borderId="14" xfId="0" applyNumberFormat="1" applyFont="1" applyBorder="1" applyAlignment="1">
      <alignment/>
    </xf>
    <xf numFmtId="0" fontId="71" fillId="0" borderId="15" xfId="0" applyFont="1" applyFill="1" applyBorder="1" applyAlignment="1">
      <alignment/>
    </xf>
    <xf numFmtId="170" fontId="71" fillId="0" borderId="11" xfId="0" applyNumberFormat="1" applyFont="1" applyFill="1" applyBorder="1" applyAlignment="1">
      <alignment/>
    </xf>
    <xf numFmtId="0" fontId="71" fillId="0" borderId="13" xfId="0" applyFont="1" applyFill="1" applyBorder="1" applyAlignment="1">
      <alignment/>
    </xf>
    <xf numFmtId="170" fontId="71" fillId="0" borderId="14" xfId="0" applyNumberFormat="1" applyFont="1" applyFill="1" applyBorder="1" applyAlignment="1">
      <alignment/>
    </xf>
    <xf numFmtId="170" fontId="71" fillId="0" borderId="10" xfId="0" applyNumberFormat="1" applyFont="1" applyFill="1" applyBorder="1" applyAlignment="1">
      <alignment/>
    </xf>
    <xf numFmtId="168" fontId="71" fillId="0" borderId="0" xfId="0" applyNumberFormat="1" applyFont="1" applyFill="1" applyBorder="1" applyAlignment="1">
      <alignment/>
    </xf>
    <xf numFmtId="170" fontId="71" fillId="0" borderId="0" xfId="0" applyNumberFormat="1" applyFont="1" applyBorder="1" applyAlignment="1">
      <alignment/>
    </xf>
    <xf numFmtId="2" fontId="27" fillId="0" borderId="13" xfId="63" applyNumberFormat="1" applyFont="1" applyFill="1" applyBorder="1" applyAlignment="1">
      <alignment vertical="top" wrapText="1"/>
    </xf>
    <xf numFmtId="168" fontId="27" fillId="0" borderId="10" xfId="0" applyNumberFormat="1" applyFont="1" applyFill="1" applyBorder="1" applyAlignment="1">
      <alignment horizontal="center"/>
    </xf>
    <xf numFmtId="3" fontId="32" fillId="0" borderId="10" xfId="55" applyNumberFormat="1" applyFont="1" applyFill="1" applyBorder="1" applyAlignment="1">
      <alignment horizontal="center"/>
      <protection/>
    </xf>
    <xf numFmtId="3" fontId="47" fillId="0" borderId="10" xfId="55" applyNumberFormat="1" applyFont="1" applyFill="1" applyBorder="1" applyAlignment="1">
      <alignment horizontal="center"/>
      <protection/>
    </xf>
    <xf numFmtId="166" fontId="65" fillId="34" borderId="10" xfId="67" applyFont="1" applyFill="1" applyBorder="1" applyAlignment="1">
      <alignment/>
    </xf>
    <xf numFmtId="166" fontId="65" fillId="34" borderId="11" xfId="67" applyFont="1" applyFill="1" applyBorder="1" applyAlignment="1">
      <alignment horizontal="center"/>
    </xf>
    <xf numFmtId="0" fontId="65" fillId="34" borderId="10" xfId="55" applyFont="1" applyFill="1" applyBorder="1">
      <alignment/>
      <protection/>
    </xf>
    <xf numFmtId="166" fontId="45" fillId="34" borderId="10" xfId="67" applyFont="1" applyFill="1" applyBorder="1" applyAlignment="1">
      <alignment/>
    </xf>
    <xf numFmtId="166" fontId="27" fillId="33" borderId="10" xfId="67" applyFont="1" applyFill="1" applyBorder="1" applyAlignment="1">
      <alignment horizontal="left"/>
    </xf>
    <xf numFmtId="166" fontId="71" fillId="34" borderId="11" xfId="67" applyFont="1" applyFill="1" applyBorder="1" applyAlignment="1">
      <alignment horizontal="center"/>
    </xf>
    <xf numFmtId="0" fontId="71" fillId="34" borderId="10" xfId="55" applyFont="1" applyFill="1" applyBorder="1">
      <alignment/>
      <protection/>
    </xf>
    <xf numFmtId="166" fontId="62" fillId="0" borderId="10" xfId="67" applyFont="1" applyBorder="1" applyAlignment="1">
      <alignment horizontal="center" vertical="top" wrapText="1"/>
    </xf>
    <xf numFmtId="166" fontId="61" fillId="0" borderId="11" xfId="67" applyFont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2" fontId="61" fillId="0" borderId="10" xfId="0" applyNumberFormat="1" applyFont="1" applyBorder="1" applyAlignment="1">
      <alignment horizontal="center" vertical="top"/>
    </xf>
    <xf numFmtId="3" fontId="61" fillId="0" borderId="10" xfId="0" applyNumberFormat="1" applyFont="1" applyBorder="1" applyAlignment="1">
      <alignment horizontal="center" vertical="top"/>
    </xf>
    <xf numFmtId="1" fontId="61" fillId="0" borderId="10" xfId="0" applyNumberFormat="1" applyFont="1" applyBorder="1" applyAlignment="1">
      <alignment horizontal="center" vertical="top"/>
    </xf>
    <xf numFmtId="174" fontId="31" fillId="0" borderId="10" xfId="55" applyNumberFormat="1" applyFont="1" applyBorder="1" applyAlignment="1">
      <alignment horizontal="center"/>
      <protection/>
    </xf>
    <xf numFmtId="3" fontId="7" fillId="0" borderId="10" xfId="0" applyNumberFormat="1" applyFont="1" applyBorder="1" applyAlignment="1">
      <alignment horizontal="center"/>
    </xf>
    <xf numFmtId="174" fontId="41" fillId="0" borderId="10" xfId="0" applyNumberFormat="1" applyFont="1" applyBorder="1" applyAlignment="1">
      <alignment horizontal="center"/>
    </xf>
    <xf numFmtId="0" fontId="58" fillId="33" borderId="10" xfId="55" applyFont="1" applyFill="1" applyBorder="1" applyAlignment="1">
      <alignment horizontal="center"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8" fontId="72" fillId="0" borderId="10" xfId="0" applyNumberFormat="1" applyFont="1" applyBorder="1" applyAlignment="1">
      <alignment horizontal="center"/>
    </xf>
    <xf numFmtId="170" fontId="27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200" fontId="25" fillId="0" borderId="10" xfId="63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63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4" fillId="0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166" fontId="44" fillId="34" borderId="10" xfId="67" applyFont="1" applyFill="1" applyBorder="1" applyAlignment="1">
      <alignment horizontal="left"/>
    </xf>
    <xf numFmtId="170" fontId="44" fillId="34" borderId="10" xfId="0" applyNumberFormat="1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44" fillId="34" borderId="10" xfId="55" applyFont="1" applyFill="1" applyBorder="1" applyAlignment="1">
      <alignment horizontal="center"/>
      <protection/>
    </xf>
    <xf numFmtId="171" fontId="3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73" fillId="0" borderId="0" xfId="0" applyFont="1" applyFill="1" applyAlignment="1">
      <alignment horizontal="right" indent="11"/>
    </xf>
    <xf numFmtId="0" fontId="73" fillId="0" borderId="0" xfId="0" applyFont="1" applyFill="1" applyAlignment="1">
      <alignment horizontal="right"/>
    </xf>
    <xf numFmtId="0" fontId="73" fillId="0" borderId="0" xfId="0" applyFont="1" applyAlignment="1">
      <alignment horizontal="right" indent="11"/>
    </xf>
    <xf numFmtId="3" fontId="7" fillId="0" borderId="0" xfId="55" applyNumberFormat="1" applyFont="1" applyFill="1" applyBorder="1" applyAlignment="1">
      <alignment horizontal="center"/>
      <protection/>
    </xf>
    <xf numFmtId="0" fontId="59" fillId="0" borderId="0" xfId="0" applyFont="1" applyAlignment="1">
      <alignment horizontal="right" indent="11"/>
    </xf>
    <xf numFmtId="170" fontId="66" fillId="0" borderId="10" xfId="0" applyNumberFormat="1" applyFont="1" applyBorder="1" applyAlignment="1">
      <alignment/>
    </xf>
    <xf numFmtId="166" fontId="65" fillId="0" borderId="10" xfId="67" applyFont="1" applyBorder="1" applyAlignment="1">
      <alignment horizontal="left"/>
    </xf>
    <xf numFmtId="168" fontId="65" fillId="0" borderId="10" xfId="55" applyNumberFormat="1" applyFont="1" applyBorder="1" applyAlignment="1">
      <alignment horizontal="center"/>
      <protection/>
    </xf>
    <xf numFmtId="169" fontId="74" fillId="0" borderId="10" xfId="55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54" applyFont="1" applyAlignment="1">
      <alignment horizontal="center"/>
      <protection/>
    </xf>
    <xf numFmtId="0" fontId="21" fillId="0" borderId="0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/>
      <protection/>
    </xf>
    <xf numFmtId="166" fontId="28" fillId="0" borderId="11" xfId="67" applyFont="1" applyBorder="1" applyAlignment="1">
      <alignment horizontal="center" vertical="center" wrapText="1"/>
    </xf>
    <xf numFmtId="3" fontId="2" fillId="0" borderId="11" xfId="54" applyNumberFormat="1" applyFont="1" applyBorder="1" applyAlignment="1">
      <alignment horizontal="center"/>
      <protection/>
    </xf>
    <xf numFmtId="0" fontId="2" fillId="0" borderId="11" xfId="54" applyFont="1" applyBorder="1">
      <alignment/>
      <protection/>
    </xf>
    <xf numFmtId="3" fontId="2" fillId="0" borderId="11" xfId="54" applyNumberFormat="1" applyFont="1" applyBorder="1">
      <alignment/>
      <protection/>
    </xf>
    <xf numFmtId="0" fontId="2" fillId="0" borderId="10" xfId="54" applyFont="1" applyBorder="1" applyAlignment="1">
      <alignment wrapText="1"/>
      <protection/>
    </xf>
    <xf numFmtId="0" fontId="2" fillId="0" borderId="11" xfId="54" applyFont="1" applyBorder="1">
      <alignment/>
      <protection/>
    </xf>
    <xf numFmtId="3" fontId="2" fillId="0" borderId="11" xfId="54" applyNumberFormat="1" applyFont="1" applyBorder="1">
      <alignment/>
      <protection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9" fillId="0" borderId="11" xfId="54" applyNumberFormat="1" applyFont="1" applyBorder="1" applyAlignment="1">
      <alignment horizontal="center"/>
      <protection/>
    </xf>
    <xf numFmtId="166" fontId="28" fillId="0" borderId="10" xfId="67" applyFont="1" applyBorder="1" applyAlignment="1">
      <alignment horizontal="center" vertical="center" wrapText="1"/>
    </xf>
    <xf numFmtId="0" fontId="49" fillId="0" borderId="11" xfId="54" applyFont="1" applyBorder="1" applyAlignment="1">
      <alignment horizontal="center" wrapText="1"/>
      <protection/>
    </xf>
    <xf numFmtId="0" fontId="36" fillId="0" borderId="0" xfId="0" applyFont="1" applyFill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74" fontId="0" fillId="0" borderId="10" xfId="0" applyNumberFormat="1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3" fontId="49" fillId="0" borderId="11" xfId="54" applyNumberFormat="1" applyFont="1" applyBorder="1" applyAlignment="1">
      <alignment horizontal="center"/>
      <protection/>
    </xf>
    <xf numFmtId="3" fontId="49" fillId="0" borderId="15" xfId="54" applyNumberFormat="1" applyFont="1" applyBorder="1" applyAlignment="1">
      <alignment horizontal="center"/>
      <protection/>
    </xf>
    <xf numFmtId="0" fontId="49" fillId="0" borderId="10" xfId="54" applyFont="1" applyBorder="1" applyAlignment="1">
      <alignment horizontal="center" wrapText="1"/>
      <protection/>
    </xf>
    <xf numFmtId="0" fontId="59" fillId="0" borderId="0" xfId="0" applyFont="1" applyAlignment="1">
      <alignment horizontal="left"/>
    </xf>
    <xf numFmtId="49" fontId="27" fillId="0" borderId="17" xfId="67" applyNumberFormat="1" applyFont="1" applyBorder="1" applyAlignment="1">
      <alignment horizontal="center" vertical="center" wrapText="1"/>
    </xf>
    <xf numFmtId="49" fontId="27" fillId="0" borderId="18" xfId="67" applyNumberFormat="1" applyFont="1" applyBorder="1" applyAlignment="1">
      <alignment horizontal="center" vertical="center" wrapText="1"/>
    </xf>
    <xf numFmtId="49" fontId="27" fillId="0" borderId="19" xfId="67" applyNumberFormat="1" applyFont="1" applyBorder="1" applyAlignment="1">
      <alignment horizontal="center" vertical="center" wrapText="1"/>
    </xf>
    <xf numFmtId="166" fontId="27" fillId="0" borderId="10" xfId="67" applyFont="1" applyBorder="1" applyAlignment="1">
      <alignment horizontal="center" vertical="center" wrapText="1"/>
    </xf>
    <xf numFmtId="166" fontId="27" fillId="0" borderId="17" xfId="67" applyFont="1" applyBorder="1" applyAlignment="1">
      <alignment horizontal="center" vertical="center" wrapText="1"/>
    </xf>
    <xf numFmtId="166" fontId="27" fillId="0" borderId="18" xfId="67" applyFont="1" applyBorder="1" applyAlignment="1">
      <alignment horizontal="center" vertical="center" wrapText="1"/>
    </xf>
    <xf numFmtId="166" fontId="27" fillId="0" borderId="19" xfId="67" applyFont="1" applyBorder="1" applyAlignment="1">
      <alignment horizontal="center" vertical="center" wrapText="1"/>
    </xf>
    <xf numFmtId="166" fontId="29" fillId="0" borderId="10" xfId="67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6" fontId="3" fillId="0" borderId="17" xfId="67" applyFont="1" applyBorder="1" applyAlignment="1">
      <alignment horizontal="center" vertical="center" wrapText="1"/>
    </xf>
    <xf numFmtId="166" fontId="3" fillId="0" borderId="18" xfId="67" applyFont="1" applyBorder="1" applyAlignment="1">
      <alignment horizontal="center" vertical="center" wrapText="1"/>
    </xf>
    <xf numFmtId="166" fontId="3" fillId="0" borderId="19" xfId="67" applyFont="1" applyBorder="1" applyAlignment="1">
      <alignment horizontal="center" vertical="center" wrapText="1"/>
    </xf>
    <xf numFmtId="166" fontId="3" fillId="0" borderId="10" xfId="67" applyFont="1" applyBorder="1" applyAlignment="1">
      <alignment horizontal="center" vertical="center" wrapText="1"/>
    </xf>
    <xf numFmtId="166" fontId="5" fillId="0" borderId="10" xfId="67" applyFont="1" applyBorder="1" applyAlignment="1">
      <alignment horizontal="center" vertical="center"/>
    </xf>
    <xf numFmtId="43" fontId="4" fillId="0" borderId="17" xfId="63" applyFont="1" applyBorder="1" applyAlignment="1">
      <alignment horizontal="center" vertical="center" wrapText="1"/>
    </xf>
    <xf numFmtId="43" fontId="4" fillId="0" borderId="18" xfId="63" applyFont="1" applyBorder="1" applyAlignment="1">
      <alignment horizontal="center" vertical="center" wrapText="1"/>
    </xf>
    <xf numFmtId="43" fontId="4" fillId="0" borderId="19" xfId="63" applyFont="1" applyBorder="1" applyAlignment="1">
      <alignment horizontal="center" vertical="center" wrapText="1"/>
    </xf>
    <xf numFmtId="166" fontId="28" fillId="0" borderId="10" xfId="67" applyFont="1" applyBorder="1" applyAlignment="1">
      <alignment horizontal="center" vertical="center" wrapText="1"/>
    </xf>
    <xf numFmtId="49" fontId="29" fillId="0" borderId="17" xfId="67" applyNumberFormat="1" applyFont="1" applyBorder="1" applyAlignment="1">
      <alignment horizontal="center" vertical="center" wrapText="1"/>
    </xf>
    <xf numFmtId="49" fontId="29" fillId="0" borderId="19" xfId="67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0" fontId="5" fillId="0" borderId="11" xfId="67" applyNumberFormat="1" applyFont="1" applyBorder="1" applyAlignment="1">
      <alignment horizontal="center" vertical="center"/>
    </xf>
    <xf numFmtId="170" fontId="5" fillId="0" borderId="10" xfId="67" applyNumberFormat="1" applyFont="1" applyBorder="1" applyAlignment="1">
      <alignment horizontal="center" vertical="center"/>
    </xf>
    <xf numFmtId="166" fontId="4" fillId="0" borderId="15" xfId="67" applyFont="1" applyBorder="1" applyAlignment="1">
      <alignment horizontal="center" vertical="center" wrapText="1"/>
    </xf>
    <xf numFmtId="166" fontId="4" fillId="0" borderId="10" xfId="67" applyFont="1" applyBorder="1" applyAlignment="1">
      <alignment horizontal="center" vertical="center" wrapText="1"/>
    </xf>
    <xf numFmtId="166" fontId="4" fillId="0" borderId="13" xfId="67" applyFont="1" applyBorder="1" applyAlignment="1">
      <alignment horizontal="center" vertical="center" wrapText="1"/>
    </xf>
    <xf numFmtId="166" fontId="4" fillId="0" borderId="14" xfId="67" applyFont="1" applyBorder="1" applyAlignment="1">
      <alignment horizontal="center" vertical="center" wrapText="1"/>
    </xf>
    <xf numFmtId="166" fontId="4" fillId="0" borderId="11" xfId="67" applyFont="1" applyBorder="1" applyAlignment="1">
      <alignment horizontal="center" vertical="center" wrapText="1"/>
    </xf>
    <xf numFmtId="166" fontId="5" fillId="0" borderId="13" xfId="67" applyFont="1" applyBorder="1" applyAlignment="1">
      <alignment horizontal="center" vertical="center"/>
    </xf>
    <xf numFmtId="170" fontId="5" fillId="0" borderId="14" xfId="67" applyNumberFormat="1" applyFont="1" applyBorder="1" applyAlignment="1">
      <alignment horizontal="center" vertical="center"/>
    </xf>
    <xf numFmtId="166" fontId="5" fillId="0" borderId="15" xfId="67" applyFont="1" applyBorder="1" applyAlignment="1">
      <alignment horizontal="center" vertical="center"/>
    </xf>
    <xf numFmtId="0" fontId="11" fillId="0" borderId="0" xfId="0" applyFont="1" applyAlignment="1">
      <alignment/>
    </xf>
    <xf numFmtId="0" fontId="54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4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_48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N163"/>
  <sheetViews>
    <sheetView tabSelected="1" view="pageBreakPreview" zoomScale="80" zoomScaleNormal="85" zoomScaleSheetLayoutView="80" workbookViewId="0" topLeftCell="A1">
      <selection activeCell="C8" sqref="C8"/>
    </sheetView>
  </sheetViews>
  <sheetFormatPr defaultColWidth="9.00390625" defaultRowHeight="12.75"/>
  <cols>
    <col min="1" max="1" width="7.625" style="0" customWidth="1"/>
    <col min="2" max="2" width="55.00390625" style="0" customWidth="1"/>
    <col min="3" max="3" width="13.875" style="0" customWidth="1"/>
    <col min="4" max="4" width="12.25390625" style="0" customWidth="1"/>
    <col min="5" max="5" width="9.125" style="45" customWidth="1"/>
    <col min="6" max="6" width="55.125" style="0" customWidth="1"/>
    <col min="7" max="7" width="12.25390625" style="27" bestFit="1" customWidth="1"/>
    <col min="8" max="8" width="14.125" style="0" customWidth="1"/>
    <col min="9" max="9" width="9.00390625" style="0" bestFit="1" customWidth="1"/>
    <col min="10" max="10" width="54.125" style="0" customWidth="1"/>
    <col min="11" max="11" width="13.75390625" style="0" customWidth="1"/>
    <col min="12" max="12" width="12.125" style="0" customWidth="1"/>
    <col min="13" max="13" width="10.375" style="0" customWidth="1"/>
    <col min="14" max="14" width="50.75390625" style="0" customWidth="1"/>
    <col min="15" max="15" width="12.25390625" style="0" bestFit="1" customWidth="1"/>
    <col min="16" max="16" width="12.875" style="0" customWidth="1"/>
    <col min="18" max="18" width="50.75390625" style="0" customWidth="1"/>
    <col min="19" max="19" width="12.25390625" style="0" bestFit="1" customWidth="1"/>
    <col min="20" max="20" width="10.25390625" style="0" customWidth="1"/>
    <col min="22" max="22" width="50.75390625" style="0" customWidth="1"/>
    <col min="23" max="23" width="12.25390625" style="0" bestFit="1" customWidth="1"/>
    <col min="24" max="24" width="10.75390625" style="0" bestFit="1" customWidth="1"/>
    <col min="26" max="26" width="51.875" style="0" customWidth="1"/>
    <col min="27" max="27" width="12.25390625" style="0" bestFit="1" customWidth="1"/>
    <col min="28" max="28" width="11.375" style="0" customWidth="1"/>
    <col min="29" max="29" width="10.125" style="0" customWidth="1"/>
    <col min="30" max="30" width="50.75390625" style="0" customWidth="1"/>
    <col min="31" max="31" width="12.25390625" style="0" bestFit="1" customWidth="1"/>
    <col min="32" max="32" width="11.25390625" style="0" customWidth="1"/>
    <col min="34" max="34" width="50.75390625" style="0" customWidth="1"/>
    <col min="35" max="35" width="12.25390625" style="0" bestFit="1" customWidth="1"/>
    <col min="36" max="36" width="10.625" style="0" customWidth="1"/>
    <col min="38" max="38" width="50.75390625" style="0" customWidth="1"/>
    <col min="39" max="39" width="12.25390625" style="0" bestFit="1" customWidth="1"/>
    <col min="40" max="40" width="11.75390625" style="0" customWidth="1"/>
    <col min="42" max="42" width="50.75390625" style="0" customWidth="1"/>
    <col min="43" max="43" width="12.25390625" style="0" bestFit="1" customWidth="1"/>
    <col min="44" max="44" width="10.75390625" style="0" bestFit="1" customWidth="1"/>
    <col min="46" max="46" width="50.75390625" style="0" customWidth="1"/>
    <col min="47" max="47" width="12.25390625" style="0" bestFit="1" customWidth="1"/>
    <col min="48" max="48" width="12.375" style="0" customWidth="1"/>
    <col min="50" max="50" width="50.75390625" style="0" customWidth="1"/>
    <col min="51" max="51" width="12.25390625" style="0" bestFit="1" customWidth="1"/>
    <col min="52" max="52" width="10.375" style="0" bestFit="1" customWidth="1"/>
    <col min="54" max="54" width="50.75390625" style="0" customWidth="1"/>
    <col min="55" max="55" width="12.25390625" style="0" bestFit="1" customWidth="1"/>
    <col min="56" max="56" width="13.25390625" style="0" customWidth="1"/>
    <col min="57" max="57" width="12.375" style="0" bestFit="1" customWidth="1"/>
  </cols>
  <sheetData>
    <row r="1" ht="15.75" customHeight="1"/>
    <row r="2" ht="17.25" customHeight="1"/>
    <row r="3" ht="15.75" customHeight="1"/>
    <row r="4" ht="15.75" customHeight="1"/>
    <row r="5" spans="1:56" ht="15">
      <c r="A5" s="78"/>
      <c r="B5" s="78"/>
      <c r="C5" s="78"/>
      <c r="D5" s="78"/>
      <c r="E5" s="79"/>
      <c r="F5" s="78"/>
      <c r="G5" s="8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</row>
    <row r="6" spans="1:66" ht="23.25">
      <c r="A6" s="747" t="s">
        <v>317</v>
      </c>
      <c r="B6" s="747"/>
      <c r="C6" s="747"/>
      <c r="D6" s="747"/>
      <c r="E6" s="748" t="str">
        <f>$A$6</f>
        <v>План текущего ремонта на 2014г</v>
      </c>
      <c r="F6" s="748"/>
      <c r="G6" s="748"/>
      <c r="H6" s="748"/>
      <c r="I6" s="748" t="str">
        <f>$A$6</f>
        <v>План текущего ремонта на 2014г</v>
      </c>
      <c r="J6" s="748"/>
      <c r="K6" s="748"/>
      <c r="L6" s="748"/>
      <c r="M6" s="748" t="str">
        <f>$A$6</f>
        <v>План текущего ремонта на 2014г</v>
      </c>
      <c r="N6" s="748"/>
      <c r="O6" s="748"/>
      <c r="P6" s="748"/>
      <c r="Q6" s="748" t="str">
        <f>M6</f>
        <v>План текущего ремонта на 2014г</v>
      </c>
      <c r="R6" s="748"/>
      <c r="S6" s="748"/>
      <c r="T6" s="748"/>
      <c r="U6" s="748" t="str">
        <f>Q6</f>
        <v>План текущего ремонта на 2014г</v>
      </c>
      <c r="V6" s="748"/>
      <c r="W6" s="748"/>
      <c r="X6" s="748"/>
      <c r="Y6" s="748" t="str">
        <f>U6</f>
        <v>План текущего ремонта на 2014г</v>
      </c>
      <c r="Z6" s="748"/>
      <c r="AA6" s="748"/>
      <c r="AB6" s="748"/>
      <c r="AC6" s="748" t="str">
        <f>Y6</f>
        <v>План текущего ремонта на 2014г</v>
      </c>
      <c r="AD6" s="748"/>
      <c r="AE6" s="748"/>
      <c r="AF6" s="748"/>
      <c r="AG6" s="748" t="str">
        <f>AC6</f>
        <v>План текущего ремонта на 2014г</v>
      </c>
      <c r="AH6" s="748"/>
      <c r="AI6" s="748"/>
      <c r="AJ6" s="748"/>
      <c r="AK6" s="748" t="str">
        <f>AG6</f>
        <v>План текущего ремонта на 2014г</v>
      </c>
      <c r="AL6" s="748"/>
      <c r="AM6" s="748"/>
      <c r="AN6" s="748"/>
      <c r="AO6" s="748" t="str">
        <f>AK6</f>
        <v>План текущего ремонта на 2014г</v>
      </c>
      <c r="AP6" s="748"/>
      <c r="AQ6" s="748"/>
      <c r="AR6" s="748"/>
      <c r="AS6" s="748" t="str">
        <f>AO6</f>
        <v>План текущего ремонта на 2014г</v>
      </c>
      <c r="AT6" s="748"/>
      <c r="AU6" s="748"/>
      <c r="AV6" s="748"/>
      <c r="AW6" s="748" t="str">
        <f>AS6</f>
        <v>План текущего ремонта на 2014г</v>
      </c>
      <c r="AX6" s="748"/>
      <c r="AY6" s="748"/>
      <c r="AZ6" s="748"/>
      <c r="BA6" s="748" t="str">
        <f>AW6</f>
        <v>План текущего ремонта на 2014г</v>
      </c>
      <c r="BB6" s="748"/>
      <c r="BC6" s="748"/>
      <c r="BD6" s="748"/>
      <c r="BE6" s="357"/>
      <c r="BF6" s="357"/>
      <c r="BG6" s="357"/>
      <c r="BH6" s="357"/>
      <c r="BI6" s="357"/>
      <c r="BJ6" s="357"/>
      <c r="BK6" s="357"/>
      <c r="BL6" s="357"/>
      <c r="BM6" s="357"/>
      <c r="BN6" s="357"/>
    </row>
    <row r="7" spans="1:55" s="30" customFormat="1" ht="18.75">
      <c r="A7" s="746" t="s">
        <v>148</v>
      </c>
      <c r="B7" s="746"/>
      <c r="C7" s="746"/>
      <c r="D7" s="746"/>
      <c r="E7" s="44"/>
      <c r="F7" s="30" t="s">
        <v>1</v>
      </c>
      <c r="G7" s="35" t="s">
        <v>109</v>
      </c>
      <c r="J7" s="30" t="s">
        <v>1</v>
      </c>
      <c r="K7" s="30" t="s">
        <v>110</v>
      </c>
      <c r="N7" s="30" t="s">
        <v>1</v>
      </c>
      <c r="O7" s="30" t="s">
        <v>111</v>
      </c>
      <c r="R7" s="30" t="s">
        <v>1</v>
      </c>
      <c r="S7" s="30" t="s">
        <v>112</v>
      </c>
      <c r="V7" s="30" t="s">
        <v>1</v>
      </c>
      <c r="W7" s="30" t="s">
        <v>113</v>
      </c>
      <c r="Z7" s="30" t="s">
        <v>1</v>
      </c>
      <c r="AA7" s="30" t="s">
        <v>114</v>
      </c>
      <c r="AD7" s="30" t="s">
        <v>1</v>
      </c>
      <c r="AE7" s="30" t="s">
        <v>115</v>
      </c>
      <c r="AH7" s="30" t="s">
        <v>1</v>
      </c>
      <c r="AI7" s="30" t="s">
        <v>116</v>
      </c>
      <c r="AL7" s="30" t="s">
        <v>1</v>
      </c>
      <c r="AM7" s="30" t="s">
        <v>117</v>
      </c>
      <c r="AP7" s="30" t="s">
        <v>1</v>
      </c>
      <c r="AQ7" s="30" t="s">
        <v>118</v>
      </c>
      <c r="AT7" s="30" t="s">
        <v>1</v>
      </c>
      <c r="AU7" s="30" t="s">
        <v>119</v>
      </c>
      <c r="AX7" s="30" t="s">
        <v>1</v>
      </c>
      <c r="AY7" s="30" t="s">
        <v>120</v>
      </c>
      <c r="BB7" s="30" t="s">
        <v>1</v>
      </c>
      <c r="BC7" s="30" t="s">
        <v>121</v>
      </c>
    </row>
    <row r="8" spans="1:56" ht="15">
      <c r="A8" s="78"/>
      <c r="B8" s="81"/>
      <c r="C8" s="81"/>
      <c r="D8" s="78"/>
      <c r="E8" s="79"/>
      <c r="F8" s="78" t="s">
        <v>5</v>
      </c>
      <c r="G8" s="80">
        <v>9</v>
      </c>
      <c r="H8" s="78" t="s">
        <v>320</v>
      </c>
      <c r="I8" s="78"/>
      <c r="J8" s="78" t="s">
        <v>5</v>
      </c>
      <c r="K8" s="78">
        <v>5</v>
      </c>
      <c r="L8" s="78" t="s">
        <v>321</v>
      </c>
      <c r="M8" s="78"/>
      <c r="N8" s="78" t="s">
        <v>5</v>
      </c>
      <c r="O8" s="78">
        <v>5</v>
      </c>
      <c r="P8" s="78" t="s">
        <v>320</v>
      </c>
      <c r="Q8" s="78"/>
      <c r="R8" s="78" t="s">
        <v>5</v>
      </c>
      <c r="S8" s="78">
        <v>5</v>
      </c>
      <c r="T8" s="78" t="s">
        <v>320</v>
      </c>
      <c r="U8" s="78"/>
      <c r="V8" s="78" t="s">
        <v>5</v>
      </c>
      <c r="W8" s="78">
        <v>5</v>
      </c>
      <c r="X8" s="78" t="s">
        <v>321</v>
      </c>
      <c r="Y8" s="78"/>
      <c r="Z8" s="78" t="s">
        <v>5</v>
      </c>
      <c r="AA8" s="78">
        <v>9</v>
      </c>
      <c r="AB8" s="78" t="s">
        <v>320</v>
      </c>
      <c r="AC8" s="78"/>
      <c r="AD8" s="78" t="s">
        <v>5</v>
      </c>
      <c r="AE8" s="78">
        <v>9</v>
      </c>
      <c r="AF8" s="78" t="s">
        <v>320</v>
      </c>
      <c r="AG8" s="78"/>
      <c r="AH8" s="78" t="s">
        <v>5</v>
      </c>
      <c r="AI8" s="78">
        <v>9</v>
      </c>
      <c r="AJ8" s="78" t="s">
        <v>321</v>
      </c>
      <c r="AK8" s="78"/>
      <c r="AL8" s="78" t="s">
        <v>5</v>
      </c>
      <c r="AM8" s="78">
        <v>9</v>
      </c>
      <c r="AN8" s="78" t="s">
        <v>321</v>
      </c>
      <c r="AO8" s="78"/>
      <c r="AP8" s="78" t="s">
        <v>5</v>
      </c>
      <c r="AQ8" s="78">
        <v>5</v>
      </c>
      <c r="AR8" s="78" t="s">
        <v>320</v>
      </c>
      <c r="AS8" s="78"/>
      <c r="AT8" s="78" t="s">
        <v>5</v>
      </c>
      <c r="AU8" s="78">
        <v>5</v>
      </c>
      <c r="AV8" s="78" t="s">
        <v>321</v>
      </c>
      <c r="AW8" s="78"/>
      <c r="AX8" s="78" t="s">
        <v>5</v>
      </c>
      <c r="AY8" s="78">
        <v>5</v>
      </c>
      <c r="AZ8" s="78" t="s">
        <v>321</v>
      </c>
      <c r="BA8" s="78"/>
      <c r="BB8" s="78" t="s">
        <v>5</v>
      </c>
      <c r="BC8" s="78">
        <v>5</v>
      </c>
      <c r="BD8" s="78" t="s">
        <v>320</v>
      </c>
    </row>
    <row r="9" spans="1:56" ht="15">
      <c r="A9" s="78"/>
      <c r="B9" s="61" t="s">
        <v>2</v>
      </c>
      <c r="C9" s="82">
        <f>G9+K9+O9+S9+W9+AA9+AE9+AI9+AM9+AQ9+AU9+AY9+BC9</f>
        <v>163</v>
      </c>
      <c r="D9" s="78"/>
      <c r="E9" s="79"/>
      <c r="F9" s="78" t="s">
        <v>2</v>
      </c>
      <c r="G9" s="80">
        <v>8</v>
      </c>
      <c r="H9" s="78"/>
      <c r="I9" s="78"/>
      <c r="J9" s="78" t="s">
        <v>2</v>
      </c>
      <c r="K9" s="78">
        <v>16</v>
      </c>
      <c r="L9" s="78"/>
      <c r="M9" s="78"/>
      <c r="N9" s="78" t="s">
        <v>2</v>
      </c>
      <c r="O9" s="78">
        <v>16</v>
      </c>
      <c r="P9" s="78"/>
      <c r="Q9" s="78"/>
      <c r="R9" s="78" t="s">
        <v>2</v>
      </c>
      <c r="S9" s="78">
        <v>16</v>
      </c>
      <c r="T9" s="78"/>
      <c r="U9" s="78"/>
      <c r="V9" s="78" t="s">
        <v>2</v>
      </c>
      <c r="W9" s="78">
        <v>16</v>
      </c>
      <c r="X9" s="78"/>
      <c r="Y9" s="78"/>
      <c r="Z9" s="78" t="s">
        <v>2</v>
      </c>
      <c r="AA9" s="78">
        <v>17</v>
      </c>
      <c r="AB9" s="78"/>
      <c r="AC9" s="78"/>
      <c r="AD9" s="78" t="s">
        <v>2</v>
      </c>
      <c r="AE9" s="78">
        <v>8</v>
      </c>
      <c r="AF9" s="78"/>
      <c r="AG9" s="78"/>
      <c r="AH9" s="78" t="s">
        <v>2</v>
      </c>
      <c r="AI9" s="78">
        <v>6</v>
      </c>
      <c r="AJ9" s="78"/>
      <c r="AK9" s="78"/>
      <c r="AL9" s="78" t="s">
        <v>2</v>
      </c>
      <c r="AM9" s="78">
        <v>14</v>
      </c>
      <c r="AN9" s="78"/>
      <c r="AO9" s="78"/>
      <c r="AP9" s="78" t="s">
        <v>2</v>
      </c>
      <c r="AQ9" s="78">
        <v>15</v>
      </c>
      <c r="AR9" s="78"/>
      <c r="AS9" s="78"/>
      <c r="AT9" s="78" t="s">
        <v>2</v>
      </c>
      <c r="AU9" s="78">
        <v>8</v>
      </c>
      <c r="AV9" s="78"/>
      <c r="AW9" s="78"/>
      <c r="AX9" s="78" t="s">
        <v>2</v>
      </c>
      <c r="AY9" s="78">
        <v>15</v>
      </c>
      <c r="AZ9" s="78"/>
      <c r="BA9" s="78"/>
      <c r="BB9" s="78" t="s">
        <v>2</v>
      </c>
      <c r="BC9" s="78">
        <v>8</v>
      </c>
      <c r="BD9" s="78"/>
    </row>
    <row r="10" spans="1:56" ht="15" hidden="1">
      <c r="A10" s="78"/>
      <c r="B10" s="78" t="s">
        <v>3</v>
      </c>
      <c r="C10" s="78"/>
      <c r="D10" s="78"/>
      <c r="E10" s="79"/>
      <c r="F10" s="78" t="s">
        <v>3</v>
      </c>
      <c r="G10" s="80"/>
      <c r="H10" s="78"/>
      <c r="I10" s="78"/>
      <c r="J10" s="78" t="s">
        <v>3</v>
      </c>
      <c r="K10" s="78"/>
      <c r="L10" s="78"/>
      <c r="M10" s="78"/>
      <c r="N10" s="78" t="s">
        <v>3</v>
      </c>
      <c r="O10" s="78"/>
      <c r="P10" s="78"/>
      <c r="Q10" s="78"/>
      <c r="R10" s="78" t="s">
        <v>3</v>
      </c>
      <c r="S10" s="78"/>
      <c r="T10" s="78"/>
      <c r="U10" s="78"/>
      <c r="V10" s="78" t="s">
        <v>3</v>
      </c>
      <c r="W10" s="78"/>
      <c r="X10" s="78"/>
      <c r="Y10" s="78"/>
      <c r="Z10" s="78" t="s">
        <v>3</v>
      </c>
      <c r="AA10" s="78"/>
      <c r="AB10" s="78"/>
      <c r="AC10" s="78"/>
      <c r="AD10" s="78" t="s">
        <v>3</v>
      </c>
      <c r="AE10" s="78"/>
      <c r="AF10" s="78"/>
      <c r="AG10" s="78"/>
      <c r="AH10" s="78" t="s">
        <v>3</v>
      </c>
      <c r="AI10" s="78"/>
      <c r="AJ10" s="78"/>
      <c r="AK10" s="78"/>
      <c r="AL10" s="78" t="s">
        <v>3</v>
      </c>
      <c r="AM10" s="78"/>
      <c r="AN10" s="78"/>
      <c r="AO10" s="78"/>
      <c r="AP10" s="78" t="s">
        <v>3</v>
      </c>
      <c r="AQ10" s="78"/>
      <c r="AR10" s="78"/>
      <c r="AS10" s="78"/>
      <c r="AT10" s="78" t="s">
        <v>3</v>
      </c>
      <c r="AU10" s="78"/>
      <c r="AV10" s="78"/>
      <c r="AW10" s="78"/>
      <c r="AX10" s="78" t="s">
        <v>3</v>
      </c>
      <c r="AY10" s="78"/>
      <c r="AZ10" s="78"/>
      <c r="BA10" s="78"/>
      <c r="BB10" s="78" t="s">
        <v>3</v>
      </c>
      <c r="BC10" s="78"/>
      <c r="BD10" s="78"/>
    </row>
    <row r="11" spans="1:56" ht="15" hidden="1">
      <c r="A11" s="78"/>
      <c r="B11" s="78" t="s">
        <v>4</v>
      </c>
      <c r="C11" s="78"/>
      <c r="D11" s="78"/>
      <c r="E11" s="79"/>
      <c r="F11" s="78" t="s">
        <v>4</v>
      </c>
      <c r="G11" s="80"/>
      <c r="H11" s="78">
        <v>1</v>
      </c>
      <c r="I11" s="78"/>
      <c r="J11" s="78" t="s">
        <v>4</v>
      </c>
      <c r="K11" s="78"/>
      <c r="L11" s="78"/>
      <c r="M11" s="78"/>
      <c r="N11" s="78" t="s">
        <v>4</v>
      </c>
      <c r="O11" s="78"/>
      <c r="P11" s="78" t="s">
        <v>392</v>
      </c>
      <c r="Q11" s="78"/>
      <c r="R11" s="78" t="s">
        <v>4</v>
      </c>
      <c r="S11" s="78"/>
      <c r="T11" s="78"/>
      <c r="U11" s="78"/>
      <c r="V11" s="78" t="s">
        <v>4</v>
      </c>
      <c r="W11" s="78"/>
      <c r="X11" s="78"/>
      <c r="Y11" s="78"/>
      <c r="Z11" s="78" t="s">
        <v>4</v>
      </c>
      <c r="AA11" s="78"/>
      <c r="AB11" s="78"/>
      <c r="AC11" s="78"/>
      <c r="AD11" s="78" t="s">
        <v>4</v>
      </c>
      <c r="AE11" s="78"/>
      <c r="AF11" s="78"/>
      <c r="AG11" s="78"/>
      <c r="AH11" s="78" t="s">
        <v>4</v>
      </c>
      <c r="AI11" s="78"/>
      <c r="AJ11" s="78"/>
      <c r="AK11" s="78"/>
      <c r="AL11" s="78" t="s">
        <v>4</v>
      </c>
      <c r="AM11" s="78"/>
      <c r="AN11" s="78"/>
      <c r="AO11" s="78"/>
      <c r="AP11" s="78" t="s">
        <v>4</v>
      </c>
      <c r="AQ11" s="78"/>
      <c r="AR11" s="78"/>
      <c r="AS11" s="78"/>
      <c r="AT11" s="78" t="s">
        <v>4</v>
      </c>
      <c r="AU11" s="78"/>
      <c r="AV11" s="78"/>
      <c r="AW11" s="78"/>
      <c r="AX11" s="78" t="s">
        <v>4</v>
      </c>
      <c r="AY11" s="78"/>
      <c r="AZ11" s="78"/>
      <c r="BA11" s="78"/>
      <c r="BB11" s="78" t="s">
        <v>4</v>
      </c>
      <c r="BC11" s="78"/>
      <c r="BD11" s="78"/>
    </row>
    <row r="12" spans="1:56" ht="15">
      <c r="A12" s="78"/>
      <c r="B12" s="78"/>
      <c r="C12" s="78"/>
      <c r="D12" s="78"/>
      <c r="E12" s="79"/>
      <c r="F12" s="78"/>
      <c r="G12" s="80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</row>
    <row r="13" spans="1:56" ht="15.75" customHeight="1" hidden="1">
      <c r="A13" s="78"/>
      <c r="B13" s="281" t="s">
        <v>306</v>
      </c>
      <c r="C13" s="281"/>
      <c r="D13" s="281"/>
      <c r="E13" s="79"/>
      <c r="F13" s="281" t="s">
        <v>306</v>
      </c>
      <c r="G13" s="281"/>
      <c r="H13" s="281"/>
      <c r="I13" s="78"/>
      <c r="J13" s="281" t="s">
        <v>306</v>
      </c>
      <c r="K13" s="281"/>
      <c r="L13" s="281"/>
      <c r="M13" s="78"/>
      <c r="N13" s="281" t="s">
        <v>306</v>
      </c>
      <c r="O13" s="281"/>
      <c r="P13" s="281"/>
      <c r="Q13" s="78"/>
      <c r="R13" s="281" t="s">
        <v>306</v>
      </c>
      <c r="S13" s="281"/>
      <c r="T13" s="281"/>
      <c r="U13" s="78"/>
      <c r="V13" s="281" t="s">
        <v>306</v>
      </c>
      <c r="W13" s="281"/>
      <c r="X13" s="281"/>
      <c r="Y13" s="78"/>
      <c r="Z13" s="281" t="s">
        <v>306</v>
      </c>
      <c r="AA13" s="281"/>
      <c r="AB13" s="281"/>
      <c r="AC13" s="78"/>
      <c r="AD13" s="281" t="s">
        <v>306</v>
      </c>
      <c r="AE13" s="281"/>
      <c r="AF13" s="281"/>
      <c r="AG13" s="78"/>
      <c r="AH13" s="281" t="s">
        <v>306</v>
      </c>
      <c r="AI13" s="281"/>
      <c r="AJ13" s="281"/>
      <c r="AK13" s="78"/>
      <c r="AL13" s="281" t="s">
        <v>306</v>
      </c>
      <c r="AM13" s="281"/>
      <c r="AN13" s="281"/>
      <c r="AO13" s="78"/>
      <c r="AP13" s="281" t="s">
        <v>306</v>
      </c>
      <c r="AQ13" s="281"/>
      <c r="AR13" s="281"/>
      <c r="AS13" s="78"/>
      <c r="AT13" s="281" t="s">
        <v>306</v>
      </c>
      <c r="AU13" s="281"/>
      <c r="AV13" s="281"/>
      <c r="AW13" s="78"/>
      <c r="AX13" s="281" t="s">
        <v>306</v>
      </c>
      <c r="AY13" s="281"/>
      <c r="AZ13" s="281"/>
      <c r="BA13" s="78"/>
      <c r="BB13" s="281" t="s">
        <v>306</v>
      </c>
      <c r="BC13" s="281"/>
      <c r="BD13" s="281"/>
    </row>
    <row r="14" spans="1:56" ht="51.75" customHeight="1" hidden="1" thickBot="1">
      <c r="A14" s="78"/>
      <c r="B14" s="282"/>
      <c r="C14" s="283" t="s">
        <v>303</v>
      </c>
      <c r="D14" s="283" t="s">
        <v>304</v>
      </c>
      <c r="E14" s="79"/>
      <c r="F14" s="282"/>
      <c r="G14" s="283" t="s">
        <v>303</v>
      </c>
      <c r="H14" s="283" t="s">
        <v>304</v>
      </c>
      <c r="I14" s="78"/>
      <c r="J14" s="282"/>
      <c r="K14" s="283" t="s">
        <v>303</v>
      </c>
      <c r="L14" s="727" t="s">
        <v>304</v>
      </c>
      <c r="M14" s="78"/>
      <c r="N14" s="282"/>
      <c r="O14" s="283" t="s">
        <v>303</v>
      </c>
      <c r="P14" s="283" t="s">
        <v>304</v>
      </c>
      <c r="Q14" s="78"/>
      <c r="R14" s="78"/>
      <c r="S14" s="736" t="s">
        <v>303</v>
      </c>
      <c r="T14" s="736"/>
      <c r="U14" s="78"/>
      <c r="V14" s="282"/>
      <c r="W14" s="283" t="s">
        <v>303</v>
      </c>
      <c r="X14" s="283" t="s">
        <v>304</v>
      </c>
      <c r="Y14" s="78"/>
      <c r="Z14" s="78"/>
      <c r="AA14" s="736" t="s">
        <v>303</v>
      </c>
      <c r="AB14" s="736"/>
      <c r="AC14" s="78"/>
      <c r="AD14" s="78"/>
      <c r="AE14" s="736" t="s">
        <v>303</v>
      </c>
      <c r="AF14" s="736"/>
      <c r="AG14" s="78"/>
      <c r="AH14" s="78"/>
      <c r="AI14" s="736" t="s">
        <v>303</v>
      </c>
      <c r="AJ14" s="736"/>
      <c r="AK14" s="78"/>
      <c r="AL14" s="299"/>
      <c r="AM14" s="736" t="s">
        <v>303</v>
      </c>
      <c r="AN14" s="736"/>
      <c r="AO14" s="78"/>
      <c r="AP14" s="78"/>
      <c r="AQ14" s="736" t="s">
        <v>303</v>
      </c>
      <c r="AR14" s="736"/>
      <c r="AS14" s="78"/>
      <c r="AT14" s="78"/>
      <c r="AU14" s="736" t="s">
        <v>303</v>
      </c>
      <c r="AV14" s="736"/>
      <c r="AW14" s="78"/>
      <c r="AX14" s="78"/>
      <c r="AY14" s="736" t="s">
        <v>303</v>
      </c>
      <c r="AZ14" s="736"/>
      <c r="BA14" s="78"/>
      <c r="BB14" s="78"/>
      <c r="BC14" s="736" t="s">
        <v>303</v>
      </c>
      <c r="BD14" s="736"/>
    </row>
    <row r="15" spans="1:56" ht="28.5" customHeight="1" hidden="1">
      <c r="A15" s="78"/>
      <c r="B15" s="285" t="s">
        <v>305</v>
      </c>
      <c r="C15" s="286">
        <v>35375992.169999994</v>
      </c>
      <c r="D15" s="286">
        <v>35381593.71</v>
      </c>
      <c r="E15" s="79"/>
      <c r="F15" s="285" t="s">
        <v>305</v>
      </c>
      <c r="G15" s="286">
        <v>3036749.84</v>
      </c>
      <c r="H15" s="286">
        <v>2989366.479999999</v>
      </c>
      <c r="I15" s="78"/>
      <c r="J15" s="285" t="s">
        <v>305</v>
      </c>
      <c r="K15" s="286">
        <v>2331956.8</v>
      </c>
      <c r="L15" s="725">
        <v>2290102.85</v>
      </c>
      <c r="M15" s="78"/>
      <c r="N15" s="285" t="s">
        <v>305</v>
      </c>
      <c r="O15" s="297">
        <v>2322031.88</v>
      </c>
      <c r="P15" s="286">
        <v>2262361.64</v>
      </c>
      <c r="Q15" s="78"/>
      <c r="R15" s="298" t="s">
        <v>305</v>
      </c>
      <c r="S15" s="734">
        <v>2289818.9499999997</v>
      </c>
      <c r="T15" s="735"/>
      <c r="U15" s="78"/>
      <c r="V15" s="285" t="s">
        <v>305</v>
      </c>
      <c r="W15" s="286">
        <v>2235928.3699999996</v>
      </c>
      <c r="X15" s="286">
        <v>2352206.340000001</v>
      </c>
      <c r="Y15" s="78"/>
      <c r="Z15" s="298" t="s">
        <v>305</v>
      </c>
      <c r="AA15" s="734">
        <v>6436714.49</v>
      </c>
      <c r="AB15" s="735"/>
      <c r="AC15" s="78"/>
      <c r="AD15" s="298" t="s">
        <v>305</v>
      </c>
      <c r="AE15" s="734">
        <v>2991341.77</v>
      </c>
      <c r="AF15" s="735"/>
      <c r="AG15" s="78"/>
      <c r="AH15" s="298" t="s">
        <v>305</v>
      </c>
      <c r="AI15" s="734">
        <v>2228237.11</v>
      </c>
      <c r="AJ15" s="735"/>
      <c r="AK15" s="78"/>
      <c r="AL15" s="298" t="s">
        <v>305</v>
      </c>
      <c r="AM15" s="734">
        <v>5333445.92</v>
      </c>
      <c r="AN15" s="735"/>
      <c r="AO15" s="78"/>
      <c r="AP15" s="298" t="s">
        <v>305</v>
      </c>
      <c r="AQ15" s="734">
        <v>2089578.1300000004</v>
      </c>
      <c r="AR15" s="735"/>
      <c r="AS15" s="78"/>
      <c r="AT15" s="298" t="s">
        <v>305</v>
      </c>
      <c r="AU15" s="734">
        <v>1045236.8899999997</v>
      </c>
      <c r="AV15" s="735"/>
      <c r="AW15" s="78"/>
      <c r="AX15" s="298" t="s">
        <v>305</v>
      </c>
      <c r="AY15" s="734">
        <v>1995917.4600000002</v>
      </c>
      <c r="AZ15" s="735"/>
      <c r="BA15" s="78"/>
      <c r="BB15" s="298" t="s">
        <v>305</v>
      </c>
      <c r="BC15" s="734">
        <v>1039034.5599999999</v>
      </c>
      <c r="BD15" s="735"/>
    </row>
    <row r="16" spans="1:56" ht="33" customHeight="1" hidden="1">
      <c r="A16" s="78"/>
      <c r="B16" s="285" t="s">
        <v>309</v>
      </c>
      <c r="C16" s="286">
        <v>11193612.270000001</v>
      </c>
      <c r="D16" s="286">
        <v>11169248.84</v>
      </c>
      <c r="E16" s="79"/>
      <c r="F16" s="285" t="s">
        <v>309</v>
      </c>
      <c r="G16" s="286">
        <v>987934.2599999999</v>
      </c>
      <c r="H16" s="286">
        <v>964423.01</v>
      </c>
      <c r="I16" s="78"/>
      <c r="J16" s="285" t="s">
        <v>309</v>
      </c>
      <c r="K16" s="286">
        <v>704755.54</v>
      </c>
      <c r="L16" s="725">
        <v>698505.1699999999</v>
      </c>
      <c r="M16" s="78"/>
      <c r="N16" s="285" t="s">
        <v>309</v>
      </c>
      <c r="O16" s="286">
        <v>690558.37</v>
      </c>
      <c r="P16" s="286">
        <v>687418.45</v>
      </c>
      <c r="Q16" s="78"/>
      <c r="R16" s="298" t="s">
        <v>309</v>
      </c>
      <c r="S16" s="734">
        <v>687418.45</v>
      </c>
      <c r="T16" s="735"/>
      <c r="U16" s="78"/>
      <c r="V16" s="285" t="s">
        <v>309</v>
      </c>
      <c r="W16" s="286">
        <v>670159.78</v>
      </c>
      <c r="X16" s="286">
        <v>700746.0499999999</v>
      </c>
      <c r="Y16" s="78"/>
      <c r="Z16" s="298" t="s">
        <v>309</v>
      </c>
      <c r="AA16" s="734">
        <v>2117760.89</v>
      </c>
      <c r="AB16" s="735"/>
      <c r="AC16" s="78"/>
      <c r="AD16" s="298" t="s">
        <v>309</v>
      </c>
      <c r="AE16" s="734">
        <v>987543.68</v>
      </c>
      <c r="AF16" s="735"/>
      <c r="AG16" s="78"/>
      <c r="AH16" s="298" t="s">
        <v>309</v>
      </c>
      <c r="AI16" s="734">
        <v>732805.1799999999</v>
      </c>
      <c r="AJ16" s="735"/>
      <c r="AK16" s="78"/>
      <c r="AL16" s="298" t="s">
        <v>309</v>
      </c>
      <c r="AM16" s="734">
        <v>1757800.8199999998</v>
      </c>
      <c r="AN16" s="735"/>
      <c r="AO16" s="78"/>
      <c r="AP16" s="298" t="s">
        <v>309</v>
      </c>
      <c r="AQ16" s="734">
        <v>622139.74</v>
      </c>
      <c r="AR16" s="735"/>
      <c r="AS16" s="78"/>
      <c r="AT16" s="298" t="s">
        <v>309</v>
      </c>
      <c r="AU16" s="734">
        <v>311172.70999999996</v>
      </c>
      <c r="AV16" s="735"/>
      <c r="AW16" s="78"/>
      <c r="AX16" s="298" t="s">
        <v>309</v>
      </c>
      <c r="AY16" s="734">
        <v>606902.6399999999</v>
      </c>
      <c r="AZ16" s="735"/>
      <c r="BA16" s="78"/>
      <c r="BB16" s="298" t="s">
        <v>309</v>
      </c>
      <c r="BC16" s="734">
        <v>313963.44</v>
      </c>
      <c r="BD16" s="735"/>
    </row>
    <row r="17" spans="1:56" ht="15">
      <c r="A17" s="78"/>
      <c r="B17" s="78"/>
      <c r="C17" s="78"/>
      <c r="D17" s="78"/>
      <c r="E17" s="79"/>
      <c r="F17" s="78"/>
      <c r="G17" s="80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</row>
    <row r="18" spans="1:56" ht="33" customHeight="1">
      <c r="A18" s="742" t="s">
        <v>6</v>
      </c>
      <c r="B18" s="741" t="s">
        <v>0</v>
      </c>
      <c r="C18" s="741" t="s">
        <v>76</v>
      </c>
      <c r="D18" s="726" t="s">
        <v>314</v>
      </c>
      <c r="E18" s="738" t="s">
        <v>6</v>
      </c>
      <c r="F18" s="741" t="s">
        <v>0</v>
      </c>
      <c r="G18" s="741" t="s">
        <v>76</v>
      </c>
      <c r="H18" s="726" t="str">
        <f>$D$18</f>
        <v>План на 2014 год</v>
      </c>
      <c r="I18" s="742" t="s">
        <v>6</v>
      </c>
      <c r="J18" s="741" t="s">
        <v>0</v>
      </c>
      <c r="K18" s="741" t="s">
        <v>76</v>
      </c>
      <c r="L18" s="726" t="str">
        <f>$D$18</f>
        <v>План на 2014 год</v>
      </c>
      <c r="M18" s="742" t="s">
        <v>6</v>
      </c>
      <c r="N18" s="741" t="s">
        <v>0</v>
      </c>
      <c r="O18" s="741" t="s">
        <v>76</v>
      </c>
      <c r="P18" s="726" t="str">
        <f>$D$18</f>
        <v>План на 2014 год</v>
      </c>
      <c r="Q18" s="742" t="s">
        <v>6</v>
      </c>
      <c r="R18" s="741" t="s">
        <v>0</v>
      </c>
      <c r="S18" s="741" t="s">
        <v>76</v>
      </c>
      <c r="T18" s="726" t="str">
        <f>$D$18</f>
        <v>План на 2014 год</v>
      </c>
      <c r="U18" s="742" t="s">
        <v>6</v>
      </c>
      <c r="V18" s="741" t="s">
        <v>0</v>
      </c>
      <c r="W18" s="741" t="s">
        <v>76</v>
      </c>
      <c r="X18" s="726" t="str">
        <f>$D$18</f>
        <v>План на 2014 год</v>
      </c>
      <c r="Y18" s="742" t="s">
        <v>6</v>
      </c>
      <c r="Z18" s="741" t="s">
        <v>0</v>
      </c>
      <c r="AA18" s="741" t="s">
        <v>76</v>
      </c>
      <c r="AB18" s="708" t="str">
        <f>$D$18</f>
        <v>План на 2014 год</v>
      </c>
      <c r="AC18" s="742" t="s">
        <v>6</v>
      </c>
      <c r="AD18" s="741" t="s">
        <v>0</v>
      </c>
      <c r="AE18" s="741" t="s">
        <v>76</v>
      </c>
      <c r="AF18" s="726" t="str">
        <f>$D$18</f>
        <v>План на 2014 год</v>
      </c>
      <c r="AG18" s="742" t="s">
        <v>6</v>
      </c>
      <c r="AH18" s="741" t="s">
        <v>0</v>
      </c>
      <c r="AI18" s="741" t="s">
        <v>76</v>
      </c>
      <c r="AJ18" s="726" t="str">
        <f>$D$18</f>
        <v>План на 2014 год</v>
      </c>
      <c r="AK18" s="742" t="s">
        <v>6</v>
      </c>
      <c r="AL18" s="741" t="s">
        <v>0</v>
      </c>
      <c r="AM18" s="741" t="s">
        <v>76</v>
      </c>
      <c r="AN18" s="726" t="str">
        <f>$D$18</f>
        <v>План на 2014 год</v>
      </c>
      <c r="AO18" s="742" t="s">
        <v>6</v>
      </c>
      <c r="AP18" s="741" t="s">
        <v>0</v>
      </c>
      <c r="AQ18" s="741" t="s">
        <v>76</v>
      </c>
      <c r="AR18" s="726" t="str">
        <f>$D$18</f>
        <v>План на 2014 год</v>
      </c>
      <c r="AS18" s="742" t="s">
        <v>6</v>
      </c>
      <c r="AT18" s="741" t="s">
        <v>0</v>
      </c>
      <c r="AU18" s="741" t="s">
        <v>76</v>
      </c>
      <c r="AV18" s="726" t="str">
        <f>$D$18</f>
        <v>План на 2014 год</v>
      </c>
      <c r="AW18" s="742" t="s">
        <v>6</v>
      </c>
      <c r="AX18" s="741" t="s">
        <v>0</v>
      </c>
      <c r="AY18" s="741" t="s">
        <v>76</v>
      </c>
      <c r="AZ18" s="726" t="str">
        <f>$D$18</f>
        <v>План на 2014 год</v>
      </c>
      <c r="BA18" s="742" t="s">
        <v>6</v>
      </c>
      <c r="BB18" s="741" t="s">
        <v>0</v>
      </c>
      <c r="BC18" s="741" t="s">
        <v>76</v>
      </c>
      <c r="BD18" s="726" t="str">
        <f>$D$18</f>
        <v>План на 2014 год</v>
      </c>
    </row>
    <row r="19" spans="1:58" ht="15" customHeight="1">
      <c r="A19" s="743"/>
      <c r="B19" s="741"/>
      <c r="C19" s="741"/>
      <c r="D19" s="745" t="s">
        <v>7</v>
      </c>
      <c r="E19" s="739"/>
      <c r="F19" s="741"/>
      <c r="G19" s="741"/>
      <c r="H19" s="745" t="s">
        <v>7</v>
      </c>
      <c r="I19" s="743"/>
      <c r="J19" s="741"/>
      <c r="K19" s="741"/>
      <c r="L19" s="745" t="s">
        <v>7</v>
      </c>
      <c r="M19" s="743"/>
      <c r="N19" s="741"/>
      <c r="O19" s="741"/>
      <c r="P19" s="745" t="s">
        <v>7</v>
      </c>
      <c r="Q19" s="743"/>
      <c r="R19" s="741"/>
      <c r="S19" s="741"/>
      <c r="T19" s="745" t="s">
        <v>7</v>
      </c>
      <c r="U19" s="743"/>
      <c r="V19" s="741"/>
      <c r="W19" s="741"/>
      <c r="X19" s="745" t="s">
        <v>7</v>
      </c>
      <c r="Y19" s="743"/>
      <c r="Z19" s="741"/>
      <c r="AA19" s="741"/>
      <c r="AB19" s="745" t="s">
        <v>7</v>
      </c>
      <c r="AC19" s="743"/>
      <c r="AD19" s="741"/>
      <c r="AE19" s="741"/>
      <c r="AF19" s="745" t="s">
        <v>7</v>
      </c>
      <c r="AG19" s="743"/>
      <c r="AH19" s="741"/>
      <c r="AI19" s="741"/>
      <c r="AJ19" s="745" t="s">
        <v>7</v>
      </c>
      <c r="AK19" s="743"/>
      <c r="AL19" s="741"/>
      <c r="AM19" s="741"/>
      <c r="AN19" s="745" t="s">
        <v>7</v>
      </c>
      <c r="AO19" s="743"/>
      <c r="AP19" s="741"/>
      <c r="AQ19" s="741"/>
      <c r="AR19" s="745" t="s">
        <v>7</v>
      </c>
      <c r="AS19" s="743"/>
      <c r="AT19" s="741"/>
      <c r="AU19" s="741"/>
      <c r="AV19" s="745" t="s">
        <v>7</v>
      </c>
      <c r="AW19" s="743"/>
      <c r="AX19" s="741"/>
      <c r="AY19" s="741"/>
      <c r="AZ19" s="745" t="s">
        <v>7</v>
      </c>
      <c r="BA19" s="743"/>
      <c r="BB19" s="741"/>
      <c r="BC19" s="741"/>
      <c r="BD19" s="745" t="s">
        <v>7</v>
      </c>
      <c r="BF19" s="29"/>
    </row>
    <row r="20" spans="1:56" ht="15" customHeight="1">
      <c r="A20" s="744"/>
      <c r="B20" s="741"/>
      <c r="C20" s="741"/>
      <c r="D20" s="745"/>
      <c r="E20" s="740"/>
      <c r="F20" s="741"/>
      <c r="G20" s="741"/>
      <c r="H20" s="745"/>
      <c r="I20" s="744"/>
      <c r="J20" s="741"/>
      <c r="K20" s="741"/>
      <c r="L20" s="745"/>
      <c r="M20" s="744"/>
      <c r="N20" s="741"/>
      <c r="O20" s="741"/>
      <c r="P20" s="745"/>
      <c r="Q20" s="744"/>
      <c r="R20" s="741"/>
      <c r="S20" s="741"/>
      <c r="T20" s="745"/>
      <c r="U20" s="744"/>
      <c r="V20" s="741"/>
      <c r="W20" s="741"/>
      <c r="X20" s="745"/>
      <c r="Y20" s="744"/>
      <c r="Z20" s="741"/>
      <c r="AA20" s="741"/>
      <c r="AB20" s="745"/>
      <c r="AC20" s="744"/>
      <c r="AD20" s="741"/>
      <c r="AE20" s="741"/>
      <c r="AF20" s="745"/>
      <c r="AG20" s="744"/>
      <c r="AH20" s="741"/>
      <c r="AI20" s="741"/>
      <c r="AJ20" s="745"/>
      <c r="AK20" s="744"/>
      <c r="AL20" s="741"/>
      <c r="AM20" s="741"/>
      <c r="AN20" s="745"/>
      <c r="AO20" s="744"/>
      <c r="AP20" s="741"/>
      <c r="AQ20" s="741"/>
      <c r="AR20" s="745"/>
      <c r="AS20" s="744"/>
      <c r="AT20" s="741"/>
      <c r="AU20" s="741"/>
      <c r="AV20" s="745"/>
      <c r="AW20" s="744"/>
      <c r="AX20" s="741"/>
      <c r="AY20" s="741"/>
      <c r="AZ20" s="745"/>
      <c r="BA20" s="744"/>
      <c r="BB20" s="741"/>
      <c r="BC20" s="741"/>
      <c r="BD20" s="745"/>
    </row>
    <row r="21" spans="1:56" ht="18.75">
      <c r="A21" s="83"/>
      <c r="B21" s="84" t="s">
        <v>9</v>
      </c>
      <c r="C21" s="85" t="s">
        <v>11</v>
      </c>
      <c r="D21" s="227">
        <f>H21+L21+P21+T21+X21+AB21+AF21+AJ21+AN21+AR21+AV21+AZ21+BD21</f>
        <v>13</v>
      </c>
      <c r="E21" s="83"/>
      <c r="F21" s="84" t="s">
        <v>9</v>
      </c>
      <c r="G21" s="86" t="s">
        <v>11</v>
      </c>
      <c r="H21" s="87">
        <v>1</v>
      </c>
      <c r="I21" s="83"/>
      <c r="J21" s="84" t="s">
        <v>9</v>
      </c>
      <c r="K21" s="86" t="s">
        <v>11</v>
      </c>
      <c r="L21" s="87">
        <v>1</v>
      </c>
      <c r="M21" s="83"/>
      <c r="N21" s="84" t="s">
        <v>9</v>
      </c>
      <c r="O21" s="86" t="s">
        <v>11</v>
      </c>
      <c r="P21" s="87">
        <v>1</v>
      </c>
      <c r="Q21" s="83"/>
      <c r="R21" s="84" t="s">
        <v>9</v>
      </c>
      <c r="S21" s="86" t="s">
        <v>11</v>
      </c>
      <c r="T21" s="87">
        <v>1</v>
      </c>
      <c r="U21" s="83"/>
      <c r="V21" s="84" t="s">
        <v>9</v>
      </c>
      <c r="W21" s="86" t="s">
        <v>11</v>
      </c>
      <c r="X21" s="87">
        <v>1</v>
      </c>
      <c r="Y21" s="83"/>
      <c r="Z21" s="84" t="s">
        <v>9</v>
      </c>
      <c r="AA21" s="86" t="s">
        <v>11</v>
      </c>
      <c r="AB21" s="87">
        <v>1</v>
      </c>
      <c r="AC21" s="83"/>
      <c r="AD21" s="84" t="s">
        <v>9</v>
      </c>
      <c r="AE21" s="86" t="s">
        <v>11</v>
      </c>
      <c r="AF21" s="87">
        <v>1</v>
      </c>
      <c r="AG21" s="83"/>
      <c r="AH21" s="84" t="s">
        <v>9</v>
      </c>
      <c r="AI21" s="86" t="s">
        <v>11</v>
      </c>
      <c r="AJ21" s="87">
        <v>1</v>
      </c>
      <c r="AK21" s="83"/>
      <c r="AL21" s="84" t="s">
        <v>9</v>
      </c>
      <c r="AM21" s="86" t="s">
        <v>11</v>
      </c>
      <c r="AN21" s="87">
        <v>1</v>
      </c>
      <c r="AO21" s="83"/>
      <c r="AP21" s="84" t="s">
        <v>9</v>
      </c>
      <c r="AQ21" s="86" t="s">
        <v>11</v>
      </c>
      <c r="AR21" s="87">
        <v>1</v>
      </c>
      <c r="AS21" s="83"/>
      <c r="AT21" s="84" t="s">
        <v>9</v>
      </c>
      <c r="AU21" s="86" t="s">
        <v>11</v>
      </c>
      <c r="AV21" s="87">
        <v>1</v>
      </c>
      <c r="AW21" s="83"/>
      <c r="AX21" s="84" t="s">
        <v>9</v>
      </c>
      <c r="AY21" s="86" t="s">
        <v>11</v>
      </c>
      <c r="AZ21" s="87">
        <v>1</v>
      </c>
      <c r="BA21" s="83"/>
      <c r="BB21" s="84" t="s">
        <v>9</v>
      </c>
      <c r="BC21" s="86" t="s">
        <v>11</v>
      </c>
      <c r="BD21" s="87">
        <v>1</v>
      </c>
    </row>
    <row r="22" spans="1:62" ht="18.75">
      <c r="A22" s="83"/>
      <c r="B22" s="84" t="s">
        <v>12</v>
      </c>
      <c r="C22" s="85" t="s">
        <v>13</v>
      </c>
      <c r="D22" s="228">
        <f>H22+L22+P22+T22+X22+AB22+AF22+AJ22+AN22+AR22+AV22+AZ22+BD22</f>
        <v>187.7749</v>
      </c>
      <c r="E22" s="83"/>
      <c r="F22" s="84" t="s">
        <v>12</v>
      </c>
      <c r="G22" s="86" t="s">
        <v>13</v>
      </c>
      <c r="H22" s="90">
        <v>16.608</v>
      </c>
      <c r="I22" s="83"/>
      <c r="J22" s="84" t="s">
        <v>12</v>
      </c>
      <c r="K22" s="86" t="s">
        <v>13</v>
      </c>
      <c r="L22" s="90">
        <v>11.6356</v>
      </c>
      <c r="M22" s="83"/>
      <c r="N22" s="84" t="s">
        <v>12</v>
      </c>
      <c r="O22" s="86" t="s">
        <v>13</v>
      </c>
      <c r="P22" s="90">
        <v>11.6337</v>
      </c>
      <c r="Q22" s="83"/>
      <c r="R22" s="84" t="s">
        <v>12</v>
      </c>
      <c r="S22" s="86" t="s">
        <v>13</v>
      </c>
      <c r="T22" s="90">
        <v>11.5951</v>
      </c>
      <c r="U22" s="83"/>
      <c r="V22" s="84" t="s">
        <v>12</v>
      </c>
      <c r="W22" s="86" t="s">
        <v>13</v>
      </c>
      <c r="X22" s="90">
        <v>11.5784</v>
      </c>
      <c r="Y22" s="83"/>
      <c r="Z22" s="84" t="s">
        <v>12</v>
      </c>
      <c r="AA22" s="86" t="s">
        <v>13</v>
      </c>
      <c r="AB22" s="90">
        <v>35.4885</v>
      </c>
      <c r="AC22" s="83"/>
      <c r="AD22" s="84" t="s">
        <v>12</v>
      </c>
      <c r="AE22" s="86" t="s">
        <v>13</v>
      </c>
      <c r="AF22" s="90">
        <v>16.5246</v>
      </c>
      <c r="AG22" s="83"/>
      <c r="AH22" s="84" t="s">
        <v>12</v>
      </c>
      <c r="AI22" s="86" t="s">
        <v>13</v>
      </c>
      <c r="AJ22" s="90">
        <v>12.0812</v>
      </c>
      <c r="AK22" s="83"/>
      <c r="AL22" s="84" t="s">
        <v>12</v>
      </c>
      <c r="AM22" s="86" t="s">
        <v>13</v>
      </c>
      <c r="AN22" s="90">
        <v>29.2522</v>
      </c>
      <c r="AO22" s="83"/>
      <c r="AP22" s="84" t="s">
        <v>12</v>
      </c>
      <c r="AQ22" s="86" t="s">
        <v>13</v>
      </c>
      <c r="AR22" s="90">
        <v>10.3591</v>
      </c>
      <c r="AS22" s="83"/>
      <c r="AT22" s="84" t="s">
        <v>12</v>
      </c>
      <c r="AU22" s="86" t="s">
        <v>13</v>
      </c>
      <c r="AV22" s="90">
        <v>5.3743</v>
      </c>
      <c r="AW22" s="83"/>
      <c r="AX22" s="84" t="s">
        <v>12</v>
      </c>
      <c r="AY22" s="86" t="s">
        <v>13</v>
      </c>
      <c r="AZ22" s="90">
        <v>10.3788</v>
      </c>
      <c r="BA22" s="83"/>
      <c r="BB22" s="84" t="s">
        <v>12</v>
      </c>
      <c r="BC22" s="86" t="s">
        <v>13</v>
      </c>
      <c r="BD22" s="90">
        <v>5.2654</v>
      </c>
      <c r="BG22" s="221"/>
      <c r="BH22" s="221"/>
      <c r="BI22" s="221"/>
      <c r="BJ22" s="221"/>
    </row>
    <row r="23" spans="1:62" ht="18.75">
      <c r="A23" s="83"/>
      <c r="B23" s="91" t="s">
        <v>14</v>
      </c>
      <c r="C23" s="85" t="s">
        <v>15</v>
      </c>
      <c r="D23" s="229">
        <f>H23+L23+P23+T23+X23+AB23+AF23+AJ23+AN23+AR23+AV23+AZ23+BD23</f>
        <v>3483</v>
      </c>
      <c r="E23" s="83"/>
      <c r="F23" s="91" t="s">
        <v>14</v>
      </c>
      <c r="G23" s="86" t="s">
        <v>15</v>
      </c>
      <c r="H23" s="92">
        <v>277</v>
      </c>
      <c r="I23" s="83"/>
      <c r="J23" s="91" t="s">
        <v>14</v>
      </c>
      <c r="K23" s="86" t="s">
        <v>15</v>
      </c>
      <c r="L23" s="92">
        <v>244</v>
      </c>
      <c r="M23" s="83"/>
      <c r="N23" s="91" t="s">
        <v>14</v>
      </c>
      <c r="O23" s="86" t="s">
        <v>15</v>
      </c>
      <c r="P23" s="92">
        <v>244</v>
      </c>
      <c r="Q23" s="83"/>
      <c r="R23" s="91" t="s">
        <v>14</v>
      </c>
      <c r="S23" s="86" t="s">
        <v>15</v>
      </c>
      <c r="T23" s="92">
        <v>244</v>
      </c>
      <c r="U23" s="83"/>
      <c r="V23" s="91" t="s">
        <v>14</v>
      </c>
      <c r="W23" s="86" t="s">
        <v>15</v>
      </c>
      <c r="X23" s="92">
        <v>244</v>
      </c>
      <c r="Y23" s="83"/>
      <c r="Z23" s="91" t="s">
        <v>14</v>
      </c>
      <c r="AA23" s="86" t="s">
        <v>15</v>
      </c>
      <c r="AB23" s="92">
        <v>583</v>
      </c>
      <c r="AC23" s="83"/>
      <c r="AD23" s="91" t="s">
        <v>14</v>
      </c>
      <c r="AE23" s="86" t="s">
        <v>15</v>
      </c>
      <c r="AF23" s="92">
        <v>282</v>
      </c>
      <c r="AG23" s="83"/>
      <c r="AH23" s="91" t="s">
        <v>14</v>
      </c>
      <c r="AI23" s="86" t="s">
        <v>15</v>
      </c>
      <c r="AJ23" s="92">
        <v>216</v>
      </c>
      <c r="AK23" s="83"/>
      <c r="AL23" s="91" t="s">
        <v>14</v>
      </c>
      <c r="AM23" s="86" t="s">
        <v>15</v>
      </c>
      <c r="AN23" s="92">
        <v>486</v>
      </c>
      <c r="AO23" s="83"/>
      <c r="AP23" s="91" t="s">
        <v>14</v>
      </c>
      <c r="AQ23" s="86" t="s">
        <v>15</v>
      </c>
      <c r="AR23" s="92">
        <v>221</v>
      </c>
      <c r="AS23" s="83"/>
      <c r="AT23" s="91" t="s">
        <v>14</v>
      </c>
      <c r="AU23" s="86" t="s">
        <v>15</v>
      </c>
      <c r="AV23" s="92">
        <v>109</v>
      </c>
      <c r="AW23" s="83"/>
      <c r="AX23" s="91" t="s">
        <v>14</v>
      </c>
      <c r="AY23" s="86" t="s">
        <v>15</v>
      </c>
      <c r="AZ23" s="92">
        <v>223</v>
      </c>
      <c r="BA23" s="83"/>
      <c r="BB23" s="91" t="s">
        <v>14</v>
      </c>
      <c r="BC23" s="86" t="s">
        <v>15</v>
      </c>
      <c r="BD23" s="92">
        <v>110</v>
      </c>
      <c r="BG23" s="221"/>
      <c r="BH23" s="347"/>
      <c r="BI23" s="295"/>
      <c r="BJ23" s="221"/>
    </row>
    <row r="24" spans="1:62" ht="18.75">
      <c r="A24" s="83"/>
      <c r="B24" s="93" t="s">
        <v>16</v>
      </c>
      <c r="C24" s="85" t="s">
        <v>17</v>
      </c>
      <c r="D24" s="227"/>
      <c r="E24" s="83"/>
      <c r="F24" s="93" t="s">
        <v>16</v>
      </c>
      <c r="G24" s="86" t="s">
        <v>17</v>
      </c>
      <c r="H24" s="94"/>
      <c r="I24" s="83"/>
      <c r="J24" s="93" t="s">
        <v>16</v>
      </c>
      <c r="K24" s="86" t="s">
        <v>17</v>
      </c>
      <c r="L24" s="350"/>
      <c r="M24" s="83"/>
      <c r="N24" s="93" t="s">
        <v>16</v>
      </c>
      <c r="O24" s="86" t="s">
        <v>17</v>
      </c>
      <c r="P24" s="94"/>
      <c r="Q24" s="83"/>
      <c r="R24" s="93" t="s">
        <v>16</v>
      </c>
      <c r="S24" s="86" t="s">
        <v>17</v>
      </c>
      <c r="T24" s="94"/>
      <c r="U24" s="83"/>
      <c r="V24" s="93" t="s">
        <v>16</v>
      </c>
      <c r="W24" s="86" t="s">
        <v>17</v>
      </c>
      <c r="X24" s="94"/>
      <c r="Y24" s="83"/>
      <c r="Z24" s="93" t="s">
        <v>16</v>
      </c>
      <c r="AA24" s="86" t="s">
        <v>17</v>
      </c>
      <c r="AB24" s="94"/>
      <c r="AC24" s="83"/>
      <c r="AD24" s="93" t="s">
        <v>16</v>
      </c>
      <c r="AE24" s="86" t="s">
        <v>17</v>
      </c>
      <c r="AF24" s="94"/>
      <c r="AG24" s="83"/>
      <c r="AH24" s="93" t="s">
        <v>16</v>
      </c>
      <c r="AI24" s="86" t="s">
        <v>17</v>
      </c>
      <c r="AJ24" s="94"/>
      <c r="AK24" s="83"/>
      <c r="AL24" s="93" t="s">
        <v>16</v>
      </c>
      <c r="AM24" s="86" t="s">
        <v>17</v>
      </c>
      <c r="AN24" s="94"/>
      <c r="AO24" s="83"/>
      <c r="AP24" s="93" t="s">
        <v>16</v>
      </c>
      <c r="AQ24" s="86" t="s">
        <v>17</v>
      </c>
      <c r="AR24" s="94"/>
      <c r="AS24" s="83"/>
      <c r="AT24" s="93" t="s">
        <v>16</v>
      </c>
      <c r="AU24" s="86" t="s">
        <v>17</v>
      </c>
      <c r="AV24" s="94"/>
      <c r="AW24" s="83"/>
      <c r="AX24" s="93" t="s">
        <v>16</v>
      </c>
      <c r="AY24" s="86" t="s">
        <v>17</v>
      </c>
      <c r="AZ24" s="94"/>
      <c r="BA24" s="83"/>
      <c r="BB24" s="93" t="s">
        <v>16</v>
      </c>
      <c r="BC24" s="86" t="s">
        <v>17</v>
      </c>
      <c r="BD24" s="94"/>
      <c r="BG24" s="221"/>
      <c r="BH24" s="348"/>
      <c r="BI24" s="296"/>
      <c r="BJ24" s="221"/>
    </row>
    <row r="25" spans="1:62" ht="18.75">
      <c r="A25" s="83"/>
      <c r="B25" s="93" t="s">
        <v>18</v>
      </c>
      <c r="C25" s="85" t="s">
        <v>17</v>
      </c>
      <c r="D25" s="227"/>
      <c r="E25" s="83"/>
      <c r="F25" s="93" t="s">
        <v>18</v>
      </c>
      <c r="G25" s="85" t="s">
        <v>17</v>
      </c>
      <c r="H25" s="95"/>
      <c r="I25" s="83"/>
      <c r="J25" s="93" t="s">
        <v>18</v>
      </c>
      <c r="K25" s="85" t="s">
        <v>17</v>
      </c>
      <c r="L25" s="351"/>
      <c r="M25" s="83"/>
      <c r="N25" s="93" t="s">
        <v>18</v>
      </c>
      <c r="O25" s="85" t="s">
        <v>17</v>
      </c>
      <c r="P25" s="95"/>
      <c r="Q25" s="83"/>
      <c r="R25" s="93" t="s">
        <v>18</v>
      </c>
      <c r="S25" s="85" t="s">
        <v>17</v>
      </c>
      <c r="T25" s="95"/>
      <c r="U25" s="83"/>
      <c r="V25" s="93" t="s">
        <v>18</v>
      </c>
      <c r="W25" s="85" t="s">
        <v>17</v>
      </c>
      <c r="X25" s="95"/>
      <c r="Y25" s="83"/>
      <c r="Z25" s="93" t="s">
        <v>18</v>
      </c>
      <c r="AA25" s="85" t="s">
        <v>17</v>
      </c>
      <c r="AB25" s="95"/>
      <c r="AC25" s="83"/>
      <c r="AD25" s="93" t="s">
        <v>18</v>
      </c>
      <c r="AE25" s="85" t="s">
        <v>17</v>
      </c>
      <c r="AF25" s="95"/>
      <c r="AG25" s="83"/>
      <c r="AH25" s="93" t="s">
        <v>18</v>
      </c>
      <c r="AI25" s="85" t="s">
        <v>17</v>
      </c>
      <c r="AJ25" s="95"/>
      <c r="AK25" s="83"/>
      <c r="AL25" s="93" t="s">
        <v>18</v>
      </c>
      <c r="AM25" s="85" t="s">
        <v>17</v>
      </c>
      <c r="AN25" s="95"/>
      <c r="AO25" s="83"/>
      <c r="AP25" s="93" t="s">
        <v>18</v>
      </c>
      <c r="AQ25" s="85" t="s">
        <v>17</v>
      </c>
      <c r="AR25" s="95"/>
      <c r="AS25" s="83"/>
      <c r="AT25" s="93" t="s">
        <v>18</v>
      </c>
      <c r="AU25" s="85" t="s">
        <v>17</v>
      </c>
      <c r="AV25" s="95"/>
      <c r="AW25" s="83"/>
      <c r="AX25" s="93" t="s">
        <v>18</v>
      </c>
      <c r="AY25" s="85" t="s">
        <v>17</v>
      </c>
      <c r="AZ25" s="95"/>
      <c r="BA25" s="83"/>
      <c r="BB25" s="93" t="s">
        <v>18</v>
      </c>
      <c r="BC25" s="85" t="s">
        <v>17</v>
      </c>
      <c r="BD25" s="95"/>
      <c r="BG25" s="221"/>
      <c r="BH25" s="348"/>
      <c r="BI25" s="296"/>
      <c r="BJ25" s="221"/>
    </row>
    <row r="26" spans="1:62" ht="18.75">
      <c r="A26" s="83"/>
      <c r="B26" s="84" t="s">
        <v>19</v>
      </c>
      <c r="C26" s="96"/>
      <c r="D26" s="231"/>
      <c r="E26" s="83"/>
      <c r="F26" s="84" t="s">
        <v>19</v>
      </c>
      <c r="G26" s="85"/>
      <c r="H26" s="88"/>
      <c r="I26" s="83"/>
      <c r="J26" s="84" t="s">
        <v>19</v>
      </c>
      <c r="K26" s="85"/>
      <c r="L26" s="108"/>
      <c r="M26" s="83"/>
      <c r="N26" s="84" t="s">
        <v>19</v>
      </c>
      <c r="O26" s="85"/>
      <c r="P26" s="88"/>
      <c r="Q26" s="83"/>
      <c r="R26" s="84" t="s">
        <v>19</v>
      </c>
      <c r="S26" s="85"/>
      <c r="T26" s="88"/>
      <c r="U26" s="83"/>
      <c r="V26" s="84" t="s">
        <v>19</v>
      </c>
      <c r="W26" s="85"/>
      <c r="X26" s="88"/>
      <c r="Y26" s="83"/>
      <c r="Z26" s="84" t="s">
        <v>19</v>
      </c>
      <c r="AA26" s="85"/>
      <c r="AB26" s="88"/>
      <c r="AC26" s="83"/>
      <c r="AD26" s="84" t="s">
        <v>19</v>
      </c>
      <c r="AE26" s="85"/>
      <c r="AF26" s="88"/>
      <c r="AG26" s="83"/>
      <c r="AH26" s="84" t="s">
        <v>19</v>
      </c>
      <c r="AI26" s="85"/>
      <c r="AJ26" s="88"/>
      <c r="AK26" s="83"/>
      <c r="AL26" s="84" t="s">
        <v>19</v>
      </c>
      <c r="AM26" s="85"/>
      <c r="AN26" s="88"/>
      <c r="AO26" s="83"/>
      <c r="AP26" s="84" t="s">
        <v>19</v>
      </c>
      <c r="AQ26" s="85"/>
      <c r="AR26" s="88"/>
      <c r="AS26" s="83"/>
      <c r="AT26" s="84" t="s">
        <v>19</v>
      </c>
      <c r="AU26" s="85"/>
      <c r="AV26" s="88"/>
      <c r="AW26" s="83"/>
      <c r="AX26" s="84" t="s">
        <v>19</v>
      </c>
      <c r="AY26" s="85"/>
      <c r="AZ26" s="88"/>
      <c r="BA26" s="83"/>
      <c r="BB26" s="84" t="s">
        <v>19</v>
      </c>
      <c r="BC26" s="85"/>
      <c r="BD26" s="88"/>
      <c r="BG26" s="221"/>
      <c r="BH26" s="221"/>
      <c r="BI26" s="221"/>
      <c r="BJ26" s="221"/>
    </row>
    <row r="27" spans="1:56" ht="18.75" customHeight="1" hidden="1">
      <c r="A27" s="83"/>
      <c r="B27" s="84"/>
      <c r="C27" s="96"/>
      <c r="D27" s="231"/>
      <c r="E27" s="83"/>
      <c r="F27" s="84"/>
      <c r="G27" s="85"/>
      <c r="H27" s="88"/>
      <c r="I27" s="83"/>
      <c r="J27" s="84"/>
      <c r="K27" s="85"/>
      <c r="L27" s="108"/>
      <c r="M27" s="83"/>
      <c r="N27" s="84"/>
      <c r="O27" s="85"/>
      <c r="P27" s="88"/>
      <c r="Q27" s="83"/>
      <c r="R27" s="84"/>
      <c r="S27" s="85"/>
      <c r="T27" s="88"/>
      <c r="U27" s="83"/>
      <c r="V27" s="84"/>
      <c r="W27" s="85"/>
      <c r="X27" s="88"/>
      <c r="Y27" s="83"/>
      <c r="Z27" s="84"/>
      <c r="AA27" s="85"/>
      <c r="AB27" s="88"/>
      <c r="AC27" s="83"/>
      <c r="AD27" s="84"/>
      <c r="AE27" s="85"/>
      <c r="AF27" s="108"/>
      <c r="AG27" s="83"/>
      <c r="AH27" s="84"/>
      <c r="AI27" s="85"/>
      <c r="AJ27" s="88"/>
      <c r="AK27" s="83"/>
      <c r="AL27" s="84"/>
      <c r="AM27" s="85"/>
      <c r="AN27" s="88"/>
      <c r="AO27" s="83"/>
      <c r="AP27" s="84"/>
      <c r="AQ27" s="85"/>
      <c r="AR27" s="88"/>
      <c r="AS27" s="83"/>
      <c r="AT27" s="84"/>
      <c r="AU27" s="85"/>
      <c r="AV27" s="88"/>
      <c r="AW27" s="83"/>
      <c r="AX27" s="84"/>
      <c r="AY27" s="85"/>
      <c r="AZ27" s="88"/>
      <c r="BA27" s="83"/>
      <c r="BB27" s="84"/>
      <c r="BC27" s="85"/>
      <c r="BD27" s="88"/>
    </row>
    <row r="28" spans="1:56" ht="18.75">
      <c r="A28" s="560" t="s">
        <v>394</v>
      </c>
      <c r="B28" s="372" t="s">
        <v>333</v>
      </c>
      <c r="C28" s="85"/>
      <c r="D28" s="231"/>
      <c r="E28" s="560" t="s">
        <v>394</v>
      </c>
      <c r="F28" s="372" t="s">
        <v>333</v>
      </c>
      <c r="G28" s="85"/>
      <c r="H28" s="88"/>
      <c r="I28" s="560" t="s">
        <v>394</v>
      </c>
      <c r="J28" s="372" t="s">
        <v>333</v>
      </c>
      <c r="K28" s="85"/>
      <c r="L28" s="108"/>
      <c r="M28" s="560" t="s">
        <v>394</v>
      </c>
      <c r="N28" s="372" t="s">
        <v>333</v>
      </c>
      <c r="O28" s="85"/>
      <c r="P28" s="88"/>
      <c r="Q28" s="560" t="s">
        <v>394</v>
      </c>
      <c r="R28" s="372" t="s">
        <v>333</v>
      </c>
      <c r="S28" s="85"/>
      <c r="T28" s="88"/>
      <c r="U28" s="560" t="s">
        <v>394</v>
      </c>
      <c r="V28" s="372" t="s">
        <v>333</v>
      </c>
      <c r="W28" s="85"/>
      <c r="X28" s="88"/>
      <c r="Y28" s="560" t="s">
        <v>394</v>
      </c>
      <c r="Z28" s="372" t="s">
        <v>333</v>
      </c>
      <c r="AA28" s="85"/>
      <c r="AB28" s="88"/>
      <c r="AC28" s="560" t="s">
        <v>394</v>
      </c>
      <c r="AD28" s="372" t="s">
        <v>333</v>
      </c>
      <c r="AE28" s="85"/>
      <c r="AF28" s="108"/>
      <c r="AG28" s="560" t="s">
        <v>394</v>
      </c>
      <c r="AH28" s="372" t="s">
        <v>333</v>
      </c>
      <c r="AI28" s="85"/>
      <c r="AJ28" s="88"/>
      <c r="AK28" s="560" t="s">
        <v>394</v>
      </c>
      <c r="AL28" s="372" t="s">
        <v>333</v>
      </c>
      <c r="AM28" s="85"/>
      <c r="AN28" s="88"/>
      <c r="AO28" s="560" t="s">
        <v>394</v>
      </c>
      <c r="AP28" s="372" t="s">
        <v>333</v>
      </c>
      <c r="AQ28" s="85"/>
      <c r="AR28" s="88"/>
      <c r="AS28" s="560" t="s">
        <v>394</v>
      </c>
      <c r="AT28" s="372" t="s">
        <v>333</v>
      </c>
      <c r="AU28" s="85"/>
      <c r="AV28" s="88"/>
      <c r="AW28" s="560" t="s">
        <v>394</v>
      </c>
      <c r="AX28" s="372" t="s">
        <v>333</v>
      </c>
      <c r="AY28" s="85"/>
      <c r="AZ28" s="88"/>
      <c r="BA28" s="560" t="s">
        <v>394</v>
      </c>
      <c r="BB28" s="372" t="s">
        <v>333</v>
      </c>
      <c r="BC28" s="85"/>
      <c r="BD28" s="88"/>
    </row>
    <row r="29" spans="1:56" ht="18.75">
      <c r="A29" s="83" t="s">
        <v>217</v>
      </c>
      <c r="B29" s="338" t="s">
        <v>322</v>
      </c>
      <c r="C29" s="85" t="s">
        <v>13</v>
      </c>
      <c r="D29" s="232">
        <f aca="true" t="shared" si="0" ref="D29:D47">H29+L29+P29+T29+X29+AB29+AF29+AJ29+AN29+AR29+AV29+AZ29+BD29</f>
        <v>0.21749999999999997</v>
      </c>
      <c r="E29" s="83" t="s">
        <v>217</v>
      </c>
      <c r="F29" s="338" t="s">
        <v>322</v>
      </c>
      <c r="G29" s="85" t="s">
        <v>13</v>
      </c>
      <c r="H29" s="89">
        <v>0.06</v>
      </c>
      <c r="I29" s="83" t="s">
        <v>217</v>
      </c>
      <c r="J29" s="338" t="s">
        <v>322</v>
      </c>
      <c r="K29" s="85" t="s">
        <v>13</v>
      </c>
      <c r="L29" s="89">
        <v>0.01</v>
      </c>
      <c r="M29" s="83" t="s">
        <v>217</v>
      </c>
      <c r="N29" s="338" t="s">
        <v>322</v>
      </c>
      <c r="O29" s="85" t="s">
        <v>13</v>
      </c>
      <c r="P29" s="89">
        <v>0.01</v>
      </c>
      <c r="Q29" s="83" t="s">
        <v>217</v>
      </c>
      <c r="R29" s="338" t="s">
        <v>322</v>
      </c>
      <c r="S29" s="85" t="s">
        <v>13</v>
      </c>
      <c r="T29" s="89">
        <v>0.01</v>
      </c>
      <c r="U29" s="83" t="s">
        <v>217</v>
      </c>
      <c r="V29" s="338" t="s">
        <v>322</v>
      </c>
      <c r="W29" s="85" t="s">
        <v>13</v>
      </c>
      <c r="X29" s="89"/>
      <c r="Y29" s="83" t="s">
        <v>217</v>
      </c>
      <c r="Z29" s="338" t="s">
        <v>322</v>
      </c>
      <c r="AA29" s="85" t="s">
        <v>13</v>
      </c>
      <c r="AB29" s="89">
        <v>0.02</v>
      </c>
      <c r="AC29" s="83" t="s">
        <v>217</v>
      </c>
      <c r="AD29" s="338" t="s">
        <v>322</v>
      </c>
      <c r="AE29" s="85" t="s">
        <v>13</v>
      </c>
      <c r="AF29" s="89"/>
      <c r="AG29" s="83" t="s">
        <v>217</v>
      </c>
      <c r="AH29" s="338" t="s">
        <v>322</v>
      </c>
      <c r="AI29" s="85" t="s">
        <v>13</v>
      </c>
      <c r="AJ29" s="99"/>
      <c r="AK29" s="83" t="s">
        <v>217</v>
      </c>
      <c r="AL29" s="338" t="s">
        <v>322</v>
      </c>
      <c r="AM29" s="85" t="s">
        <v>13</v>
      </c>
      <c r="AN29" s="99"/>
      <c r="AO29" s="83" t="s">
        <v>217</v>
      </c>
      <c r="AP29" s="338" t="s">
        <v>322</v>
      </c>
      <c r="AQ29" s="85" t="s">
        <v>13</v>
      </c>
      <c r="AR29" s="89"/>
      <c r="AS29" s="83" t="s">
        <v>217</v>
      </c>
      <c r="AT29" s="338" t="s">
        <v>322</v>
      </c>
      <c r="AU29" s="85" t="s">
        <v>13</v>
      </c>
      <c r="AV29" s="89"/>
      <c r="AW29" s="83" t="s">
        <v>217</v>
      </c>
      <c r="AX29" s="338" t="s">
        <v>322</v>
      </c>
      <c r="AY29" s="85" t="s">
        <v>13</v>
      </c>
      <c r="AZ29" s="138">
        <f>0.3-0.1925</f>
        <v>0.10749999999999998</v>
      </c>
      <c r="BA29" s="83" t="s">
        <v>217</v>
      </c>
      <c r="BB29" s="338" t="s">
        <v>322</v>
      </c>
      <c r="BC29" s="85" t="s">
        <v>13</v>
      </c>
      <c r="BD29" s="99"/>
    </row>
    <row r="30" spans="1:56" ht="18.75">
      <c r="A30" s="83" t="s">
        <v>156</v>
      </c>
      <c r="B30" s="338" t="s">
        <v>337</v>
      </c>
      <c r="C30" s="85" t="s">
        <v>13</v>
      </c>
      <c r="D30" s="232">
        <f t="shared" si="0"/>
        <v>0.01</v>
      </c>
      <c r="E30" s="83" t="s">
        <v>156</v>
      </c>
      <c r="F30" s="338" t="s">
        <v>337</v>
      </c>
      <c r="G30" s="85" t="s">
        <v>13</v>
      </c>
      <c r="H30" s="100"/>
      <c r="I30" s="83" t="s">
        <v>156</v>
      </c>
      <c r="J30" s="338" t="s">
        <v>337</v>
      </c>
      <c r="K30" s="85" t="s">
        <v>13</v>
      </c>
      <c r="L30" s="100"/>
      <c r="M30" s="83" t="s">
        <v>156</v>
      </c>
      <c r="N30" s="338" t="s">
        <v>337</v>
      </c>
      <c r="O30" s="85" t="s">
        <v>13</v>
      </c>
      <c r="P30" s="99"/>
      <c r="Q30" s="83" t="s">
        <v>156</v>
      </c>
      <c r="R30" s="338" t="s">
        <v>337</v>
      </c>
      <c r="S30" s="85" t="s">
        <v>13</v>
      </c>
      <c r="T30" s="100"/>
      <c r="U30" s="83" t="s">
        <v>156</v>
      </c>
      <c r="V30" s="338" t="s">
        <v>337</v>
      </c>
      <c r="W30" s="85" t="s">
        <v>13</v>
      </c>
      <c r="X30" s="99"/>
      <c r="Y30" s="83" t="s">
        <v>156</v>
      </c>
      <c r="Z30" s="338" t="s">
        <v>337</v>
      </c>
      <c r="AA30" s="85" t="s">
        <v>13</v>
      </c>
      <c r="AB30" s="89"/>
      <c r="AC30" s="83" t="s">
        <v>156</v>
      </c>
      <c r="AD30" s="338" t="s">
        <v>337</v>
      </c>
      <c r="AE30" s="85" t="s">
        <v>13</v>
      </c>
      <c r="AF30" s="100"/>
      <c r="AG30" s="83" t="s">
        <v>156</v>
      </c>
      <c r="AH30" s="338" t="s">
        <v>337</v>
      </c>
      <c r="AI30" s="85" t="s">
        <v>13</v>
      </c>
      <c r="AJ30" s="99"/>
      <c r="AK30" s="83" t="s">
        <v>156</v>
      </c>
      <c r="AL30" s="338" t="s">
        <v>337</v>
      </c>
      <c r="AM30" s="85" t="s">
        <v>13</v>
      </c>
      <c r="AN30" s="99"/>
      <c r="AO30" s="83" t="s">
        <v>156</v>
      </c>
      <c r="AP30" s="338" t="s">
        <v>337</v>
      </c>
      <c r="AQ30" s="85" t="s">
        <v>13</v>
      </c>
      <c r="AR30" s="99"/>
      <c r="AS30" s="83" t="s">
        <v>156</v>
      </c>
      <c r="AT30" s="338" t="s">
        <v>337</v>
      </c>
      <c r="AU30" s="85" t="s">
        <v>13</v>
      </c>
      <c r="AV30" s="99"/>
      <c r="AW30" s="83" t="s">
        <v>156</v>
      </c>
      <c r="AX30" s="338" t="s">
        <v>337</v>
      </c>
      <c r="AY30" s="85" t="s">
        <v>13</v>
      </c>
      <c r="AZ30" s="89">
        <v>0.01</v>
      </c>
      <c r="BA30" s="83" t="s">
        <v>156</v>
      </c>
      <c r="BB30" s="338" t="s">
        <v>337</v>
      </c>
      <c r="BC30" s="85" t="s">
        <v>13</v>
      </c>
      <c r="BD30" s="99"/>
    </row>
    <row r="31" spans="1:56" s="133" customFormat="1" ht="24" customHeight="1" hidden="1">
      <c r="A31" s="131" t="s">
        <v>157</v>
      </c>
      <c r="B31" s="371" t="s">
        <v>152</v>
      </c>
      <c r="C31" s="128" t="s">
        <v>10</v>
      </c>
      <c r="D31" s="233">
        <f t="shared" si="0"/>
        <v>0</v>
      </c>
      <c r="E31" s="131" t="s">
        <v>157</v>
      </c>
      <c r="F31" s="371" t="s">
        <v>152</v>
      </c>
      <c r="G31" s="128" t="s">
        <v>10</v>
      </c>
      <c r="H31" s="134"/>
      <c r="I31" s="131" t="s">
        <v>157</v>
      </c>
      <c r="J31" s="371" t="s">
        <v>152</v>
      </c>
      <c r="K31" s="128" t="s">
        <v>10</v>
      </c>
      <c r="L31" s="132"/>
      <c r="M31" s="131" t="s">
        <v>157</v>
      </c>
      <c r="N31" s="371" t="s">
        <v>152</v>
      </c>
      <c r="O31" s="128" t="s">
        <v>10</v>
      </c>
      <c r="P31" s="130"/>
      <c r="Q31" s="131" t="s">
        <v>157</v>
      </c>
      <c r="R31" s="371" t="s">
        <v>152</v>
      </c>
      <c r="S31" s="128" t="s">
        <v>10</v>
      </c>
      <c r="T31" s="132"/>
      <c r="U31" s="131" t="s">
        <v>157</v>
      </c>
      <c r="V31" s="371" t="s">
        <v>152</v>
      </c>
      <c r="W31" s="128" t="s">
        <v>10</v>
      </c>
      <c r="X31" s="139"/>
      <c r="Y31" s="131" t="s">
        <v>157</v>
      </c>
      <c r="Z31" s="371" t="s">
        <v>152</v>
      </c>
      <c r="AA31" s="128" t="s">
        <v>10</v>
      </c>
      <c r="AB31" s="130"/>
      <c r="AC31" s="131" t="s">
        <v>157</v>
      </c>
      <c r="AD31" s="371" t="s">
        <v>152</v>
      </c>
      <c r="AE31" s="128" t="s">
        <v>10</v>
      </c>
      <c r="AF31" s="132"/>
      <c r="AG31" s="131" t="s">
        <v>157</v>
      </c>
      <c r="AH31" s="371" t="s">
        <v>152</v>
      </c>
      <c r="AI31" s="128" t="s">
        <v>10</v>
      </c>
      <c r="AJ31" s="130"/>
      <c r="AK31" s="131" t="s">
        <v>157</v>
      </c>
      <c r="AL31" s="371" t="s">
        <v>152</v>
      </c>
      <c r="AM31" s="128" t="s">
        <v>10</v>
      </c>
      <c r="AN31" s="130"/>
      <c r="AO31" s="131" t="s">
        <v>157</v>
      </c>
      <c r="AP31" s="371" t="s">
        <v>152</v>
      </c>
      <c r="AQ31" s="128" t="s">
        <v>10</v>
      </c>
      <c r="AR31" s="130"/>
      <c r="AS31" s="131" t="s">
        <v>157</v>
      </c>
      <c r="AT31" s="371" t="s">
        <v>152</v>
      </c>
      <c r="AU31" s="128" t="s">
        <v>10</v>
      </c>
      <c r="AV31" s="130"/>
      <c r="AW31" s="131" t="s">
        <v>157</v>
      </c>
      <c r="AX31" s="371" t="s">
        <v>152</v>
      </c>
      <c r="AY31" s="128" t="s">
        <v>10</v>
      </c>
      <c r="AZ31" s="130"/>
      <c r="BA31" s="131" t="s">
        <v>157</v>
      </c>
      <c r="BB31" s="371" t="s">
        <v>152</v>
      </c>
      <c r="BC31" s="128" t="s">
        <v>10</v>
      </c>
      <c r="BD31" s="130"/>
    </row>
    <row r="32" spans="1:56" ht="30.75" customHeight="1">
      <c r="A32" s="83" t="s">
        <v>158</v>
      </c>
      <c r="B32" s="356" t="s">
        <v>338</v>
      </c>
      <c r="C32" s="85" t="s">
        <v>23</v>
      </c>
      <c r="D32" s="229">
        <f t="shared" si="0"/>
        <v>163</v>
      </c>
      <c r="E32" s="83" t="s">
        <v>158</v>
      </c>
      <c r="F32" s="356" t="s">
        <v>338</v>
      </c>
      <c r="G32" s="85" t="s">
        <v>23</v>
      </c>
      <c r="H32" s="101">
        <v>8</v>
      </c>
      <c r="I32" s="83" t="s">
        <v>158</v>
      </c>
      <c r="J32" s="356" t="s">
        <v>338</v>
      </c>
      <c r="K32" s="85" t="s">
        <v>23</v>
      </c>
      <c r="L32" s="101">
        <v>16</v>
      </c>
      <c r="M32" s="83" t="s">
        <v>158</v>
      </c>
      <c r="N32" s="356" t="s">
        <v>338</v>
      </c>
      <c r="O32" s="85" t="s">
        <v>23</v>
      </c>
      <c r="P32" s="101">
        <v>16</v>
      </c>
      <c r="Q32" s="83" t="s">
        <v>158</v>
      </c>
      <c r="R32" s="356" t="s">
        <v>338</v>
      </c>
      <c r="S32" s="85" t="s">
        <v>23</v>
      </c>
      <c r="T32" s="101">
        <v>16</v>
      </c>
      <c r="U32" s="83" t="s">
        <v>158</v>
      </c>
      <c r="V32" s="356" t="s">
        <v>338</v>
      </c>
      <c r="W32" s="85" t="s">
        <v>23</v>
      </c>
      <c r="X32" s="101">
        <v>16</v>
      </c>
      <c r="Y32" s="83" t="s">
        <v>158</v>
      </c>
      <c r="Z32" s="356" t="s">
        <v>338</v>
      </c>
      <c r="AA32" s="85" t="s">
        <v>23</v>
      </c>
      <c r="AB32" s="101">
        <v>17</v>
      </c>
      <c r="AC32" s="83" t="s">
        <v>158</v>
      </c>
      <c r="AD32" s="356" t="s">
        <v>338</v>
      </c>
      <c r="AE32" s="85" t="s">
        <v>23</v>
      </c>
      <c r="AF32" s="101">
        <v>8</v>
      </c>
      <c r="AG32" s="83" t="s">
        <v>158</v>
      </c>
      <c r="AH32" s="356" t="s">
        <v>338</v>
      </c>
      <c r="AI32" s="85" t="s">
        <v>23</v>
      </c>
      <c r="AJ32" s="101">
        <v>6</v>
      </c>
      <c r="AK32" s="83" t="s">
        <v>158</v>
      </c>
      <c r="AL32" s="356" t="s">
        <v>338</v>
      </c>
      <c r="AM32" s="85" t="s">
        <v>23</v>
      </c>
      <c r="AN32" s="101">
        <v>14</v>
      </c>
      <c r="AO32" s="83" t="s">
        <v>158</v>
      </c>
      <c r="AP32" s="356" t="s">
        <v>338</v>
      </c>
      <c r="AQ32" s="85" t="s">
        <v>23</v>
      </c>
      <c r="AR32" s="101">
        <v>15</v>
      </c>
      <c r="AS32" s="83" t="s">
        <v>158</v>
      </c>
      <c r="AT32" s="356" t="s">
        <v>338</v>
      </c>
      <c r="AU32" s="85" t="s">
        <v>23</v>
      </c>
      <c r="AV32" s="101">
        <v>8</v>
      </c>
      <c r="AW32" s="83" t="s">
        <v>158</v>
      </c>
      <c r="AX32" s="356" t="s">
        <v>338</v>
      </c>
      <c r="AY32" s="85" t="s">
        <v>23</v>
      </c>
      <c r="AZ32" s="101">
        <v>15</v>
      </c>
      <c r="BA32" s="83" t="s">
        <v>158</v>
      </c>
      <c r="BB32" s="356" t="s">
        <v>338</v>
      </c>
      <c r="BC32" s="85" t="s">
        <v>23</v>
      </c>
      <c r="BD32" s="101">
        <v>8</v>
      </c>
    </row>
    <row r="33" spans="1:56" ht="18.75">
      <c r="A33" s="83" t="s">
        <v>159</v>
      </c>
      <c r="B33" s="84" t="s">
        <v>318</v>
      </c>
      <c r="C33" s="85" t="s">
        <v>15</v>
      </c>
      <c r="D33" s="229">
        <f t="shared" si="0"/>
        <v>0</v>
      </c>
      <c r="E33" s="83" t="s">
        <v>159</v>
      </c>
      <c r="F33" s="84" t="s">
        <v>318</v>
      </c>
      <c r="G33" s="85" t="s">
        <v>15</v>
      </c>
      <c r="H33" s="101"/>
      <c r="I33" s="83" t="s">
        <v>159</v>
      </c>
      <c r="J33" s="84" t="s">
        <v>318</v>
      </c>
      <c r="K33" s="85" t="s">
        <v>15</v>
      </c>
      <c r="L33" s="101"/>
      <c r="M33" s="83" t="s">
        <v>159</v>
      </c>
      <c r="N33" s="84" t="s">
        <v>318</v>
      </c>
      <c r="O33" s="85" t="s">
        <v>15</v>
      </c>
      <c r="P33" s="101"/>
      <c r="Q33" s="83" t="s">
        <v>159</v>
      </c>
      <c r="R33" s="84" t="s">
        <v>318</v>
      </c>
      <c r="S33" s="85" t="s">
        <v>15</v>
      </c>
      <c r="T33" s="101"/>
      <c r="U33" s="83" t="s">
        <v>159</v>
      </c>
      <c r="V33" s="340" t="s">
        <v>318</v>
      </c>
      <c r="W33" s="85" t="s">
        <v>15</v>
      </c>
      <c r="X33" s="101"/>
      <c r="Y33" s="83" t="s">
        <v>159</v>
      </c>
      <c r="Z33" s="84" t="s">
        <v>318</v>
      </c>
      <c r="AA33" s="85" t="s">
        <v>15</v>
      </c>
      <c r="AB33" s="101"/>
      <c r="AC33" s="83" t="s">
        <v>159</v>
      </c>
      <c r="AD33" s="84" t="s">
        <v>318</v>
      </c>
      <c r="AE33" s="85" t="s">
        <v>15</v>
      </c>
      <c r="AF33" s="101"/>
      <c r="AG33" s="83" t="s">
        <v>159</v>
      </c>
      <c r="AH33" s="84" t="s">
        <v>318</v>
      </c>
      <c r="AI33" s="85" t="s">
        <v>15</v>
      </c>
      <c r="AJ33" s="101"/>
      <c r="AK33" s="83" t="s">
        <v>159</v>
      </c>
      <c r="AL33" s="84" t="s">
        <v>318</v>
      </c>
      <c r="AM33" s="85" t="s">
        <v>15</v>
      </c>
      <c r="AN33" s="101"/>
      <c r="AO33" s="83" t="s">
        <v>159</v>
      </c>
      <c r="AP33" s="84" t="s">
        <v>318</v>
      </c>
      <c r="AQ33" s="85" t="s">
        <v>15</v>
      </c>
      <c r="AR33" s="101"/>
      <c r="AS33" s="83" t="s">
        <v>159</v>
      </c>
      <c r="AT33" s="84" t="s">
        <v>318</v>
      </c>
      <c r="AU33" s="85" t="s">
        <v>15</v>
      </c>
      <c r="AV33" s="101"/>
      <c r="AW33" s="83" t="s">
        <v>159</v>
      </c>
      <c r="AX33" s="84" t="s">
        <v>318</v>
      </c>
      <c r="AY33" s="85" t="s">
        <v>15</v>
      </c>
      <c r="AZ33" s="101"/>
      <c r="BA33" s="83" t="s">
        <v>159</v>
      </c>
      <c r="BB33" s="84" t="s">
        <v>318</v>
      </c>
      <c r="BC33" s="85" t="s">
        <v>15</v>
      </c>
      <c r="BD33" s="101"/>
    </row>
    <row r="34" spans="1:56" ht="18.75">
      <c r="A34" s="83" t="s">
        <v>160</v>
      </c>
      <c r="B34" s="338" t="s">
        <v>21</v>
      </c>
      <c r="C34" s="85" t="s">
        <v>15</v>
      </c>
      <c r="D34" s="229">
        <f t="shared" si="0"/>
        <v>7</v>
      </c>
      <c r="E34" s="83" t="s">
        <v>160</v>
      </c>
      <c r="F34" s="338" t="s">
        <v>21</v>
      </c>
      <c r="G34" s="85" t="s">
        <v>15</v>
      </c>
      <c r="H34" s="101"/>
      <c r="I34" s="83" t="s">
        <v>160</v>
      </c>
      <c r="J34" s="338" t="s">
        <v>21</v>
      </c>
      <c r="K34" s="85" t="s">
        <v>15</v>
      </c>
      <c r="L34" s="99"/>
      <c r="M34" s="83" t="s">
        <v>160</v>
      </c>
      <c r="N34" s="338" t="s">
        <v>21</v>
      </c>
      <c r="O34" s="85" t="s">
        <v>15</v>
      </c>
      <c r="P34" s="99"/>
      <c r="Q34" s="83" t="s">
        <v>160</v>
      </c>
      <c r="R34" s="338" t="s">
        <v>21</v>
      </c>
      <c r="S34" s="85" t="s">
        <v>15</v>
      </c>
      <c r="T34" s="100"/>
      <c r="U34" s="83" t="s">
        <v>160</v>
      </c>
      <c r="V34" s="338" t="s">
        <v>21</v>
      </c>
      <c r="W34" s="85" t="s">
        <v>15</v>
      </c>
      <c r="X34" s="101">
        <v>1</v>
      </c>
      <c r="Y34" s="83" t="s">
        <v>160</v>
      </c>
      <c r="Z34" s="338" t="s">
        <v>21</v>
      </c>
      <c r="AA34" s="85" t="s">
        <v>15</v>
      </c>
      <c r="AB34" s="101">
        <v>2</v>
      </c>
      <c r="AC34" s="83" t="s">
        <v>160</v>
      </c>
      <c r="AD34" s="338" t="s">
        <v>21</v>
      </c>
      <c r="AE34" s="85" t="s">
        <v>15</v>
      </c>
      <c r="AF34" s="101">
        <v>1</v>
      </c>
      <c r="AG34" s="83" t="s">
        <v>160</v>
      </c>
      <c r="AH34" s="338" t="s">
        <v>21</v>
      </c>
      <c r="AI34" s="85" t="s">
        <v>15</v>
      </c>
      <c r="AJ34" s="99"/>
      <c r="AK34" s="83" t="s">
        <v>160</v>
      </c>
      <c r="AL34" s="338" t="s">
        <v>21</v>
      </c>
      <c r="AM34" s="85" t="s">
        <v>15</v>
      </c>
      <c r="AN34" s="101">
        <v>1</v>
      </c>
      <c r="AO34" s="83" t="s">
        <v>160</v>
      </c>
      <c r="AP34" s="338" t="s">
        <v>21</v>
      </c>
      <c r="AQ34" s="85" t="s">
        <v>15</v>
      </c>
      <c r="AR34" s="101">
        <v>1</v>
      </c>
      <c r="AS34" s="83" t="s">
        <v>160</v>
      </c>
      <c r="AT34" s="338" t="s">
        <v>21</v>
      </c>
      <c r="AU34" s="85" t="s">
        <v>15</v>
      </c>
      <c r="AV34" s="99"/>
      <c r="AW34" s="83" t="s">
        <v>160</v>
      </c>
      <c r="AX34" s="338" t="s">
        <v>21</v>
      </c>
      <c r="AY34" s="85" t="s">
        <v>15</v>
      </c>
      <c r="AZ34" s="101">
        <v>1</v>
      </c>
      <c r="BA34" s="83" t="s">
        <v>160</v>
      </c>
      <c r="BB34" s="338" t="s">
        <v>21</v>
      </c>
      <c r="BC34" s="85" t="s">
        <v>15</v>
      </c>
      <c r="BD34" s="101"/>
    </row>
    <row r="35" spans="1:56" s="69" customFormat="1" ht="18.75">
      <c r="A35" s="83" t="s">
        <v>161</v>
      </c>
      <c r="B35" s="368" t="s">
        <v>339</v>
      </c>
      <c r="C35" s="111" t="s">
        <v>22</v>
      </c>
      <c r="D35" s="359">
        <f t="shared" si="0"/>
        <v>3.18</v>
      </c>
      <c r="E35" s="83" t="s">
        <v>161</v>
      </c>
      <c r="F35" s="368" t="s">
        <v>339</v>
      </c>
      <c r="G35" s="111" t="s">
        <v>22</v>
      </c>
      <c r="H35" s="138">
        <f>0.82-0.08</f>
        <v>0.74</v>
      </c>
      <c r="I35" s="83" t="s">
        <v>161</v>
      </c>
      <c r="J35" s="368" t="s">
        <v>339</v>
      </c>
      <c r="K35" s="111" t="s">
        <v>22</v>
      </c>
      <c r="L35" s="139"/>
      <c r="M35" s="83" t="s">
        <v>161</v>
      </c>
      <c r="N35" s="368" t="s">
        <v>339</v>
      </c>
      <c r="O35" s="111" t="s">
        <v>22</v>
      </c>
      <c r="P35" s="139"/>
      <c r="Q35" s="83" t="s">
        <v>161</v>
      </c>
      <c r="R35" s="368" t="s">
        <v>339</v>
      </c>
      <c r="S35" s="111" t="s">
        <v>22</v>
      </c>
      <c r="T35" s="319"/>
      <c r="U35" s="83" t="s">
        <v>161</v>
      </c>
      <c r="V35" s="368" t="s">
        <v>341</v>
      </c>
      <c r="W35" s="111" t="s">
        <v>22</v>
      </c>
      <c r="X35" s="138">
        <v>0.04</v>
      </c>
      <c r="Y35" s="83" t="s">
        <v>161</v>
      </c>
      <c r="Z35" s="368" t="s">
        <v>339</v>
      </c>
      <c r="AA35" s="111" t="s">
        <v>22</v>
      </c>
      <c r="AB35" s="138">
        <v>0.8</v>
      </c>
      <c r="AC35" s="83" t="s">
        <v>161</v>
      </c>
      <c r="AD35" s="368" t="s">
        <v>339</v>
      </c>
      <c r="AE35" s="111" t="s">
        <v>22</v>
      </c>
      <c r="AF35" s="138">
        <f>0.5-0.05</f>
        <v>0.45</v>
      </c>
      <c r="AG35" s="83" t="s">
        <v>161</v>
      </c>
      <c r="AH35" s="368" t="s">
        <v>339</v>
      </c>
      <c r="AI35" s="111" t="s">
        <v>22</v>
      </c>
      <c r="AJ35" s="138">
        <v>0.25</v>
      </c>
      <c r="AK35" s="83" t="s">
        <v>161</v>
      </c>
      <c r="AL35" s="368" t="s">
        <v>339</v>
      </c>
      <c r="AM35" s="111" t="s">
        <v>22</v>
      </c>
      <c r="AN35" s="138">
        <v>0.9</v>
      </c>
      <c r="AO35" s="83" t="s">
        <v>161</v>
      </c>
      <c r="AP35" s="368" t="s">
        <v>339</v>
      </c>
      <c r="AQ35" s="111" t="s">
        <v>22</v>
      </c>
      <c r="AR35" s="319"/>
      <c r="AS35" s="83" t="s">
        <v>161</v>
      </c>
      <c r="AT35" s="368" t="s">
        <v>339</v>
      </c>
      <c r="AU35" s="111" t="s">
        <v>22</v>
      </c>
      <c r="AV35" s="139"/>
      <c r="AW35" s="83" t="s">
        <v>161</v>
      </c>
      <c r="AX35" s="368" t="s">
        <v>339</v>
      </c>
      <c r="AY35" s="111" t="s">
        <v>22</v>
      </c>
      <c r="AZ35" s="139"/>
      <c r="BA35" s="83" t="s">
        <v>161</v>
      </c>
      <c r="BB35" s="368" t="s">
        <v>339</v>
      </c>
      <c r="BC35" s="111" t="s">
        <v>22</v>
      </c>
      <c r="BD35" s="142"/>
    </row>
    <row r="36" spans="1:56" s="69" customFormat="1" ht="18.75" customHeight="1" hidden="1">
      <c r="A36" s="83" t="s">
        <v>162</v>
      </c>
      <c r="B36" s="368" t="s">
        <v>335</v>
      </c>
      <c r="C36" s="111" t="s">
        <v>13</v>
      </c>
      <c r="D36" s="359">
        <f t="shared" si="0"/>
        <v>0</v>
      </c>
      <c r="E36" s="83" t="s">
        <v>162</v>
      </c>
      <c r="F36" s="368" t="s">
        <v>335</v>
      </c>
      <c r="G36" s="111" t="s">
        <v>13</v>
      </c>
      <c r="H36" s="319"/>
      <c r="I36" s="83" t="s">
        <v>162</v>
      </c>
      <c r="J36" s="368" t="s">
        <v>335</v>
      </c>
      <c r="K36" s="111" t="s">
        <v>13</v>
      </c>
      <c r="L36" s="139"/>
      <c r="M36" s="83" t="s">
        <v>162</v>
      </c>
      <c r="N36" s="368" t="s">
        <v>335</v>
      </c>
      <c r="O36" s="111" t="s">
        <v>13</v>
      </c>
      <c r="P36" s="139"/>
      <c r="Q36" s="83" t="s">
        <v>162</v>
      </c>
      <c r="R36" s="368" t="s">
        <v>335</v>
      </c>
      <c r="S36" s="111" t="s">
        <v>13</v>
      </c>
      <c r="T36" s="319"/>
      <c r="U36" s="83" t="s">
        <v>162</v>
      </c>
      <c r="V36" s="368" t="s">
        <v>335</v>
      </c>
      <c r="W36" s="111" t="s">
        <v>13</v>
      </c>
      <c r="X36" s="139"/>
      <c r="Y36" s="83" t="s">
        <v>162</v>
      </c>
      <c r="Z36" s="368" t="s">
        <v>335</v>
      </c>
      <c r="AA36" s="111" t="s">
        <v>13</v>
      </c>
      <c r="AB36" s="139"/>
      <c r="AC36" s="83" t="s">
        <v>162</v>
      </c>
      <c r="AD36" s="368" t="s">
        <v>335</v>
      </c>
      <c r="AE36" s="111" t="s">
        <v>13</v>
      </c>
      <c r="AF36" s="319"/>
      <c r="AG36" s="83" t="s">
        <v>162</v>
      </c>
      <c r="AH36" s="368" t="s">
        <v>335</v>
      </c>
      <c r="AI36" s="111" t="s">
        <v>13</v>
      </c>
      <c r="AJ36" s="139"/>
      <c r="AK36" s="83" t="s">
        <v>162</v>
      </c>
      <c r="AL36" s="368" t="s">
        <v>335</v>
      </c>
      <c r="AM36" s="111" t="s">
        <v>13</v>
      </c>
      <c r="AN36" s="139"/>
      <c r="AO36" s="83" t="s">
        <v>162</v>
      </c>
      <c r="AP36" s="368" t="s">
        <v>335</v>
      </c>
      <c r="AQ36" s="111" t="s">
        <v>13</v>
      </c>
      <c r="AR36" s="319"/>
      <c r="AS36" s="83" t="s">
        <v>162</v>
      </c>
      <c r="AT36" s="368" t="s">
        <v>335</v>
      </c>
      <c r="AU36" s="111" t="s">
        <v>13</v>
      </c>
      <c r="AV36" s="139"/>
      <c r="AW36" s="83" t="s">
        <v>162</v>
      </c>
      <c r="AX36" s="368" t="s">
        <v>335</v>
      </c>
      <c r="AY36" s="111" t="s">
        <v>13</v>
      </c>
      <c r="AZ36" s="139"/>
      <c r="BA36" s="83" t="s">
        <v>162</v>
      </c>
      <c r="BB36" s="368" t="s">
        <v>335</v>
      </c>
      <c r="BC36" s="111" t="s">
        <v>13</v>
      </c>
      <c r="BD36" s="142"/>
    </row>
    <row r="37" spans="1:56" s="69" customFormat="1" ht="18.75" customHeight="1" hidden="1">
      <c r="A37" s="83" t="s">
        <v>163</v>
      </c>
      <c r="B37" s="368" t="s">
        <v>208</v>
      </c>
      <c r="C37" s="111" t="s">
        <v>13</v>
      </c>
      <c r="D37" s="359">
        <f t="shared" si="0"/>
        <v>0</v>
      </c>
      <c r="E37" s="83" t="s">
        <v>163</v>
      </c>
      <c r="F37" s="368" t="s">
        <v>208</v>
      </c>
      <c r="G37" s="111" t="s">
        <v>13</v>
      </c>
      <c r="H37" s="319"/>
      <c r="I37" s="83" t="s">
        <v>163</v>
      </c>
      <c r="J37" s="368" t="s">
        <v>208</v>
      </c>
      <c r="K37" s="111" t="s">
        <v>13</v>
      </c>
      <c r="L37" s="139"/>
      <c r="M37" s="83" t="s">
        <v>163</v>
      </c>
      <c r="N37" s="368" t="s">
        <v>208</v>
      </c>
      <c r="O37" s="111" t="s">
        <v>13</v>
      </c>
      <c r="P37" s="139"/>
      <c r="Q37" s="83" t="s">
        <v>163</v>
      </c>
      <c r="R37" s="368" t="s">
        <v>208</v>
      </c>
      <c r="S37" s="111" t="s">
        <v>13</v>
      </c>
      <c r="T37" s="319"/>
      <c r="U37" s="83" t="s">
        <v>163</v>
      </c>
      <c r="V37" s="368" t="s">
        <v>208</v>
      </c>
      <c r="W37" s="111" t="s">
        <v>13</v>
      </c>
      <c r="X37" s="139"/>
      <c r="Y37" s="83" t="s">
        <v>163</v>
      </c>
      <c r="Z37" s="368" t="s">
        <v>208</v>
      </c>
      <c r="AA37" s="111" t="s">
        <v>13</v>
      </c>
      <c r="AB37" s="139"/>
      <c r="AC37" s="83" t="s">
        <v>163</v>
      </c>
      <c r="AD37" s="368" t="s">
        <v>208</v>
      </c>
      <c r="AE37" s="111" t="s">
        <v>13</v>
      </c>
      <c r="AF37" s="319"/>
      <c r="AG37" s="83" t="s">
        <v>163</v>
      </c>
      <c r="AH37" s="368" t="s">
        <v>208</v>
      </c>
      <c r="AI37" s="111" t="s">
        <v>13</v>
      </c>
      <c r="AJ37" s="139"/>
      <c r="AK37" s="83" t="s">
        <v>163</v>
      </c>
      <c r="AL37" s="368" t="s">
        <v>208</v>
      </c>
      <c r="AM37" s="111" t="s">
        <v>13</v>
      </c>
      <c r="AN37" s="139"/>
      <c r="AO37" s="83" t="s">
        <v>163</v>
      </c>
      <c r="AP37" s="368" t="s">
        <v>208</v>
      </c>
      <c r="AQ37" s="111" t="s">
        <v>13</v>
      </c>
      <c r="AR37" s="319"/>
      <c r="AS37" s="83" t="s">
        <v>163</v>
      </c>
      <c r="AT37" s="368" t="s">
        <v>208</v>
      </c>
      <c r="AU37" s="111" t="s">
        <v>13</v>
      </c>
      <c r="AV37" s="139"/>
      <c r="AW37" s="83" t="s">
        <v>163</v>
      </c>
      <c r="AX37" s="368" t="s">
        <v>208</v>
      </c>
      <c r="AY37" s="111" t="s">
        <v>13</v>
      </c>
      <c r="AZ37" s="139"/>
      <c r="BA37" s="83" t="s">
        <v>163</v>
      </c>
      <c r="BB37" s="368" t="s">
        <v>208</v>
      </c>
      <c r="BC37" s="111" t="s">
        <v>13</v>
      </c>
      <c r="BD37" s="142"/>
    </row>
    <row r="38" spans="1:56" s="69" customFormat="1" ht="18.75">
      <c r="A38" s="83" t="s">
        <v>88</v>
      </c>
      <c r="B38" s="368" t="s">
        <v>209</v>
      </c>
      <c r="C38" s="111" t="s">
        <v>23</v>
      </c>
      <c r="D38" s="239">
        <f t="shared" si="0"/>
        <v>15</v>
      </c>
      <c r="E38" s="83" t="s">
        <v>88</v>
      </c>
      <c r="F38" s="368" t="s">
        <v>209</v>
      </c>
      <c r="G38" s="111" t="s">
        <v>23</v>
      </c>
      <c r="H38" s="319"/>
      <c r="I38" s="83" t="s">
        <v>88</v>
      </c>
      <c r="J38" s="368" t="s">
        <v>209</v>
      </c>
      <c r="K38" s="111" t="s">
        <v>23</v>
      </c>
      <c r="L38" s="139"/>
      <c r="M38" s="83" t="s">
        <v>88</v>
      </c>
      <c r="N38" s="368" t="s">
        <v>209</v>
      </c>
      <c r="O38" s="111" t="s">
        <v>23</v>
      </c>
      <c r="P38" s="139"/>
      <c r="Q38" s="83" t="s">
        <v>88</v>
      </c>
      <c r="R38" s="368" t="s">
        <v>209</v>
      </c>
      <c r="S38" s="111" t="s">
        <v>23</v>
      </c>
      <c r="T38" s="319"/>
      <c r="U38" s="83" t="s">
        <v>88</v>
      </c>
      <c r="V38" s="368" t="s">
        <v>209</v>
      </c>
      <c r="W38" s="111" t="s">
        <v>23</v>
      </c>
      <c r="X38" s="112"/>
      <c r="Y38" s="83" t="s">
        <v>88</v>
      </c>
      <c r="Z38" s="368" t="s">
        <v>209</v>
      </c>
      <c r="AA38" s="111" t="s">
        <v>23</v>
      </c>
      <c r="AB38" s="139"/>
      <c r="AC38" s="83" t="s">
        <v>88</v>
      </c>
      <c r="AD38" s="368" t="s">
        <v>209</v>
      </c>
      <c r="AE38" s="111" t="s">
        <v>23</v>
      </c>
      <c r="AF38" s="319"/>
      <c r="AG38" s="83" t="s">
        <v>88</v>
      </c>
      <c r="AH38" s="368" t="s">
        <v>209</v>
      </c>
      <c r="AI38" s="111" t="s">
        <v>23</v>
      </c>
      <c r="AJ38" s="139"/>
      <c r="AK38" s="83" t="s">
        <v>88</v>
      </c>
      <c r="AL38" s="368" t="s">
        <v>209</v>
      </c>
      <c r="AM38" s="111" t="s">
        <v>23</v>
      </c>
      <c r="AN38" s="139"/>
      <c r="AO38" s="83" t="s">
        <v>88</v>
      </c>
      <c r="AP38" s="368" t="s">
        <v>209</v>
      </c>
      <c r="AQ38" s="111" t="s">
        <v>23</v>
      </c>
      <c r="AR38" s="112">
        <v>15</v>
      </c>
      <c r="AS38" s="83" t="s">
        <v>88</v>
      </c>
      <c r="AT38" s="368" t="s">
        <v>209</v>
      </c>
      <c r="AU38" s="111" t="s">
        <v>23</v>
      </c>
      <c r="AV38" s="139"/>
      <c r="AW38" s="83" t="s">
        <v>88</v>
      </c>
      <c r="AX38" s="368" t="s">
        <v>209</v>
      </c>
      <c r="AY38" s="111" t="s">
        <v>23</v>
      </c>
      <c r="AZ38" s="139"/>
      <c r="BA38" s="83" t="s">
        <v>88</v>
      </c>
      <c r="BB38" s="368" t="s">
        <v>209</v>
      </c>
      <c r="BC38" s="111" t="s">
        <v>23</v>
      </c>
      <c r="BD38" s="142"/>
    </row>
    <row r="39" spans="1:56" s="69" customFormat="1" ht="18.75" hidden="1">
      <c r="A39" s="83" t="s">
        <v>164</v>
      </c>
      <c r="B39" s="368" t="s">
        <v>24</v>
      </c>
      <c r="C39" s="111" t="s">
        <v>13</v>
      </c>
      <c r="D39" s="359">
        <f t="shared" si="0"/>
        <v>0</v>
      </c>
      <c r="E39" s="83" t="s">
        <v>164</v>
      </c>
      <c r="F39" s="368" t="s">
        <v>24</v>
      </c>
      <c r="G39" s="111" t="s">
        <v>13</v>
      </c>
      <c r="H39" s="319"/>
      <c r="I39" s="83" t="s">
        <v>164</v>
      </c>
      <c r="J39" s="368" t="s">
        <v>24</v>
      </c>
      <c r="K39" s="111" t="s">
        <v>13</v>
      </c>
      <c r="L39" s="139"/>
      <c r="M39" s="83" t="s">
        <v>164</v>
      </c>
      <c r="N39" s="368" t="s">
        <v>24</v>
      </c>
      <c r="O39" s="111" t="s">
        <v>13</v>
      </c>
      <c r="P39" s="139"/>
      <c r="Q39" s="83" t="s">
        <v>164</v>
      </c>
      <c r="R39" s="368" t="s">
        <v>24</v>
      </c>
      <c r="S39" s="111" t="s">
        <v>13</v>
      </c>
      <c r="T39" s="139"/>
      <c r="U39" s="83" t="s">
        <v>164</v>
      </c>
      <c r="V39" s="368" t="s">
        <v>24</v>
      </c>
      <c r="W39" s="111" t="s">
        <v>13</v>
      </c>
      <c r="X39" s="138"/>
      <c r="Y39" s="83" t="s">
        <v>164</v>
      </c>
      <c r="Z39" s="368" t="s">
        <v>24</v>
      </c>
      <c r="AA39" s="111" t="s">
        <v>13</v>
      </c>
      <c r="AB39" s="139"/>
      <c r="AC39" s="83" t="s">
        <v>164</v>
      </c>
      <c r="AD39" s="368" t="s">
        <v>24</v>
      </c>
      <c r="AE39" s="111" t="s">
        <v>13</v>
      </c>
      <c r="AF39" s="319"/>
      <c r="AG39" s="83" t="s">
        <v>164</v>
      </c>
      <c r="AH39" s="368" t="s">
        <v>24</v>
      </c>
      <c r="AI39" s="111" t="s">
        <v>13</v>
      </c>
      <c r="AJ39" s="139"/>
      <c r="AK39" s="83" t="s">
        <v>164</v>
      </c>
      <c r="AL39" s="368" t="s">
        <v>24</v>
      </c>
      <c r="AM39" s="111" t="s">
        <v>13</v>
      </c>
      <c r="AN39" s="139"/>
      <c r="AO39" s="83" t="s">
        <v>164</v>
      </c>
      <c r="AP39" s="368" t="s">
        <v>24</v>
      </c>
      <c r="AQ39" s="111" t="s">
        <v>13</v>
      </c>
      <c r="AR39" s="138">
        <v>0</v>
      </c>
      <c r="AS39" s="83" t="s">
        <v>164</v>
      </c>
      <c r="AT39" s="368" t="s">
        <v>24</v>
      </c>
      <c r="AU39" s="111" t="s">
        <v>13</v>
      </c>
      <c r="AV39" s="139"/>
      <c r="AW39" s="83" t="s">
        <v>164</v>
      </c>
      <c r="AX39" s="368" t="s">
        <v>24</v>
      </c>
      <c r="AY39" s="111" t="s">
        <v>13</v>
      </c>
      <c r="AZ39" s="138"/>
      <c r="BA39" s="83" t="s">
        <v>164</v>
      </c>
      <c r="BB39" s="368" t="s">
        <v>24</v>
      </c>
      <c r="BC39" s="111" t="s">
        <v>13</v>
      </c>
      <c r="BD39" s="142"/>
    </row>
    <row r="40" spans="1:56" s="69" customFormat="1" ht="18.75">
      <c r="A40" s="83" t="s">
        <v>165</v>
      </c>
      <c r="B40" s="368" t="s">
        <v>327</v>
      </c>
      <c r="C40" s="363" t="s">
        <v>13</v>
      </c>
      <c r="D40" s="359">
        <f t="shared" si="0"/>
        <v>0.1244</v>
      </c>
      <c r="E40" s="83" t="s">
        <v>165</v>
      </c>
      <c r="F40" s="368" t="s">
        <v>327</v>
      </c>
      <c r="G40" s="363" t="s">
        <v>13</v>
      </c>
      <c r="H40" s="319"/>
      <c r="I40" s="83" t="s">
        <v>165</v>
      </c>
      <c r="J40" s="368" t="s">
        <v>327</v>
      </c>
      <c r="K40" s="363" t="s">
        <v>13</v>
      </c>
      <c r="L40" s="139"/>
      <c r="M40" s="83" t="s">
        <v>165</v>
      </c>
      <c r="N40" s="368" t="s">
        <v>327</v>
      </c>
      <c r="O40" s="363" t="s">
        <v>13</v>
      </c>
      <c r="P40" s="139"/>
      <c r="Q40" s="83" t="s">
        <v>165</v>
      </c>
      <c r="R40" s="368" t="s">
        <v>327</v>
      </c>
      <c r="S40" s="363" t="s">
        <v>13</v>
      </c>
      <c r="T40" s="139"/>
      <c r="U40" s="83" t="s">
        <v>165</v>
      </c>
      <c r="V40" s="368" t="s">
        <v>327</v>
      </c>
      <c r="W40" s="363" t="s">
        <v>13</v>
      </c>
      <c r="X40" s="138"/>
      <c r="Y40" s="83" t="s">
        <v>165</v>
      </c>
      <c r="Z40" s="368" t="s">
        <v>327</v>
      </c>
      <c r="AA40" s="363" t="s">
        <v>13</v>
      </c>
      <c r="AB40" s="139"/>
      <c r="AC40" s="83" t="s">
        <v>165</v>
      </c>
      <c r="AD40" s="368" t="s">
        <v>327</v>
      </c>
      <c r="AE40" s="363" t="s">
        <v>13</v>
      </c>
      <c r="AF40" s="319"/>
      <c r="AG40" s="83" t="s">
        <v>165</v>
      </c>
      <c r="AH40" s="368" t="s">
        <v>327</v>
      </c>
      <c r="AI40" s="363" t="s">
        <v>13</v>
      </c>
      <c r="AJ40" s="139"/>
      <c r="AK40" s="83" t="s">
        <v>165</v>
      </c>
      <c r="AL40" s="368" t="s">
        <v>327</v>
      </c>
      <c r="AM40" s="363" t="s">
        <v>13</v>
      </c>
      <c r="AN40" s="139"/>
      <c r="AO40" s="83" t="s">
        <v>165</v>
      </c>
      <c r="AP40" s="368" t="s">
        <v>327</v>
      </c>
      <c r="AQ40" s="363" t="s">
        <v>13</v>
      </c>
      <c r="AR40" s="138"/>
      <c r="AS40" s="83" t="s">
        <v>165</v>
      </c>
      <c r="AT40" s="368" t="s">
        <v>327</v>
      </c>
      <c r="AU40" s="363" t="s">
        <v>13</v>
      </c>
      <c r="AV40" s="138">
        <f>0.15-0.0756</f>
        <v>0.0744</v>
      </c>
      <c r="AW40" s="83" t="s">
        <v>165</v>
      </c>
      <c r="AX40" s="368" t="s">
        <v>327</v>
      </c>
      <c r="AY40" s="363" t="s">
        <v>13</v>
      </c>
      <c r="AZ40" s="138">
        <v>0.05</v>
      </c>
      <c r="BA40" s="83" t="s">
        <v>165</v>
      </c>
      <c r="BB40" s="368" t="s">
        <v>327</v>
      </c>
      <c r="BC40" s="363" t="s">
        <v>13</v>
      </c>
      <c r="BD40" s="142"/>
    </row>
    <row r="41" spans="1:56" ht="18.75">
      <c r="A41" s="83" t="s">
        <v>166</v>
      </c>
      <c r="B41" s="338" t="s">
        <v>328</v>
      </c>
      <c r="C41" s="339" t="s">
        <v>13</v>
      </c>
      <c r="D41" s="232">
        <f t="shared" si="0"/>
        <v>0.30000000000000004</v>
      </c>
      <c r="E41" s="83" t="s">
        <v>166</v>
      </c>
      <c r="F41" s="338" t="s">
        <v>328</v>
      </c>
      <c r="G41" s="339" t="s">
        <v>13</v>
      </c>
      <c r="H41" s="89">
        <v>0.2</v>
      </c>
      <c r="I41" s="83" t="s">
        <v>166</v>
      </c>
      <c r="J41" s="338" t="s">
        <v>328</v>
      </c>
      <c r="K41" s="339" t="s">
        <v>13</v>
      </c>
      <c r="L41" s="99"/>
      <c r="M41" s="83" t="s">
        <v>166</v>
      </c>
      <c r="N41" s="338" t="s">
        <v>328</v>
      </c>
      <c r="O41" s="339" t="s">
        <v>13</v>
      </c>
      <c r="P41" s="99"/>
      <c r="Q41" s="83" t="s">
        <v>166</v>
      </c>
      <c r="R41" s="338" t="s">
        <v>328</v>
      </c>
      <c r="S41" s="339" t="s">
        <v>13</v>
      </c>
      <c r="T41" s="99"/>
      <c r="U41" s="83" t="s">
        <v>166</v>
      </c>
      <c r="V41" s="338" t="s">
        <v>328</v>
      </c>
      <c r="W41" s="339" t="s">
        <v>13</v>
      </c>
      <c r="X41" s="89"/>
      <c r="Y41" s="83" t="s">
        <v>166</v>
      </c>
      <c r="Z41" s="338" t="s">
        <v>328</v>
      </c>
      <c r="AA41" s="339" t="s">
        <v>13</v>
      </c>
      <c r="AB41" s="99"/>
      <c r="AC41" s="83" t="s">
        <v>166</v>
      </c>
      <c r="AD41" s="338" t="s">
        <v>328</v>
      </c>
      <c r="AE41" s="339" t="s">
        <v>13</v>
      </c>
      <c r="AF41" s="100"/>
      <c r="AG41" s="83" t="s">
        <v>166</v>
      </c>
      <c r="AH41" s="338" t="s">
        <v>328</v>
      </c>
      <c r="AI41" s="339" t="s">
        <v>13</v>
      </c>
      <c r="AJ41" s="99"/>
      <c r="AK41" s="83" t="s">
        <v>166</v>
      </c>
      <c r="AL41" s="338" t="s">
        <v>328</v>
      </c>
      <c r="AM41" s="339" t="s">
        <v>13</v>
      </c>
      <c r="AN41" s="99"/>
      <c r="AO41" s="83" t="s">
        <v>166</v>
      </c>
      <c r="AP41" s="338" t="s">
        <v>328</v>
      </c>
      <c r="AQ41" s="339" t="s">
        <v>13</v>
      </c>
      <c r="AR41" s="89"/>
      <c r="AS41" s="83" t="s">
        <v>166</v>
      </c>
      <c r="AT41" s="338" t="s">
        <v>328</v>
      </c>
      <c r="AU41" s="339" t="s">
        <v>13</v>
      </c>
      <c r="AV41" s="89">
        <v>0.1</v>
      </c>
      <c r="AW41" s="83" t="s">
        <v>166</v>
      </c>
      <c r="AX41" s="338" t="s">
        <v>328</v>
      </c>
      <c r="AY41" s="339" t="s">
        <v>13</v>
      </c>
      <c r="AZ41" s="89"/>
      <c r="BA41" s="83" t="s">
        <v>166</v>
      </c>
      <c r="BB41" s="338" t="s">
        <v>328</v>
      </c>
      <c r="BC41" s="339" t="s">
        <v>13</v>
      </c>
      <c r="BD41" s="109"/>
    </row>
    <row r="42" spans="1:56" s="69" customFormat="1" ht="18.75" customHeight="1" hidden="1">
      <c r="A42" s="141" t="s">
        <v>167</v>
      </c>
      <c r="B42" s="368" t="s">
        <v>329</v>
      </c>
      <c r="C42" s="363" t="s">
        <v>13</v>
      </c>
      <c r="D42" s="359">
        <f t="shared" si="0"/>
        <v>0</v>
      </c>
      <c r="E42" s="141" t="s">
        <v>167</v>
      </c>
      <c r="F42" s="368" t="s">
        <v>329</v>
      </c>
      <c r="G42" s="363" t="s">
        <v>13</v>
      </c>
      <c r="H42" s="319"/>
      <c r="I42" s="141" t="s">
        <v>167</v>
      </c>
      <c r="J42" s="368" t="s">
        <v>329</v>
      </c>
      <c r="K42" s="363" t="s">
        <v>13</v>
      </c>
      <c r="L42" s="139"/>
      <c r="M42" s="141" t="s">
        <v>167</v>
      </c>
      <c r="N42" s="368" t="s">
        <v>329</v>
      </c>
      <c r="O42" s="363" t="s">
        <v>13</v>
      </c>
      <c r="P42" s="139"/>
      <c r="Q42" s="141" t="s">
        <v>167</v>
      </c>
      <c r="R42" s="368" t="s">
        <v>329</v>
      </c>
      <c r="S42" s="363" t="s">
        <v>13</v>
      </c>
      <c r="T42" s="139"/>
      <c r="U42" s="141" t="s">
        <v>167</v>
      </c>
      <c r="V42" s="368" t="s">
        <v>329</v>
      </c>
      <c r="W42" s="363" t="s">
        <v>13</v>
      </c>
      <c r="X42" s="139"/>
      <c r="Y42" s="141" t="s">
        <v>167</v>
      </c>
      <c r="Z42" s="368" t="s">
        <v>329</v>
      </c>
      <c r="AA42" s="363" t="s">
        <v>13</v>
      </c>
      <c r="AB42" s="139"/>
      <c r="AC42" s="141" t="s">
        <v>167</v>
      </c>
      <c r="AD42" s="368" t="s">
        <v>329</v>
      </c>
      <c r="AE42" s="363" t="s">
        <v>13</v>
      </c>
      <c r="AF42" s="139"/>
      <c r="AG42" s="141" t="s">
        <v>167</v>
      </c>
      <c r="AH42" s="368" t="s">
        <v>329</v>
      </c>
      <c r="AI42" s="363" t="s">
        <v>13</v>
      </c>
      <c r="AJ42" s="139"/>
      <c r="AK42" s="141" t="s">
        <v>167</v>
      </c>
      <c r="AL42" s="368" t="s">
        <v>329</v>
      </c>
      <c r="AM42" s="363" t="s">
        <v>13</v>
      </c>
      <c r="AN42" s="139"/>
      <c r="AO42" s="141" t="s">
        <v>167</v>
      </c>
      <c r="AP42" s="368" t="s">
        <v>329</v>
      </c>
      <c r="AQ42" s="363" t="s">
        <v>13</v>
      </c>
      <c r="AR42" s="138"/>
      <c r="AS42" s="141" t="s">
        <v>167</v>
      </c>
      <c r="AT42" s="368" t="s">
        <v>329</v>
      </c>
      <c r="AU42" s="363" t="s">
        <v>13</v>
      </c>
      <c r="AV42" s="139"/>
      <c r="AW42" s="141" t="s">
        <v>167</v>
      </c>
      <c r="AX42" s="368" t="s">
        <v>329</v>
      </c>
      <c r="AY42" s="363" t="s">
        <v>13</v>
      </c>
      <c r="AZ42" s="139"/>
      <c r="BA42" s="141" t="s">
        <v>167</v>
      </c>
      <c r="BB42" s="368" t="s">
        <v>329</v>
      </c>
      <c r="BC42" s="363" t="s">
        <v>13</v>
      </c>
      <c r="BD42" s="142"/>
    </row>
    <row r="43" spans="1:56" ht="18.75" hidden="1">
      <c r="A43" s="83" t="s">
        <v>168</v>
      </c>
      <c r="B43" s="338" t="s">
        <v>74</v>
      </c>
      <c r="C43" s="85" t="s">
        <v>13</v>
      </c>
      <c r="D43" s="232">
        <f t="shared" si="0"/>
        <v>0</v>
      </c>
      <c r="E43" s="83" t="s">
        <v>168</v>
      </c>
      <c r="F43" s="338" t="s">
        <v>74</v>
      </c>
      <c r="G43" s="85" t="s">
        <v>13</v>
      </c>
      <c r="H43" s="100"/>
      <c r="I43" s="83" t="s">
        <v>168</v>
      </c>
      <c r="J43" s="338" t="s">
        <v>74</v>
      </c>
      <c r="K43" s="85" t="s">
        <v>13</v>
      </c>
      <c r="L43" s="99"/>
      <c r="M43" s="83" t="s">
        <v>168</v>
      </c>
      <c r="N43" s="338" t="s">
        <v>74</v>
      </c>
      <c r="O43" s="85" t="s">
        <v>13</v>
      </c>
      <c r="P43" s="99"/>
      <c r="Q43" s="83" t="s">
        <v>168</v>
      </c>
      <c r="R43" s="338" t="s">
        <v>74</v>
      </c>
      <c r="S43" s="85" t="s">
        <v>13</v>
      </c>
      <c r="T43" s="99"/>
      <c r="U43" s="83" t="s">
        <v>168</v>
      </c>
      <c r="V43" s="338" t="s">
        <v>74</v>
      </c>
      <c r="W43" s="85" t="s">
        <v>13</v>
      </c>
      <c r="X43" s="89"/>
      <c r="Y43" s="83" t="s">
        <v>168</v>
      </c>
      <c r="Z43" s="338" t="s">
        <v>74</v>
      </c>
      <c r="AA43" s="85" t="s">
        <v>13</v>
      </c>
      <c r="AB43" s="99"/>
      <c r="AC43" s="83" t="s">
        <v>168</v>
      </c>
      <c r="AD43" s="338" t="s">
        <v>74</v>
      </c>
      <c r="AE43" s="85" t="s">
        <v>13</v>
      </c>
      <c r="AF43" s="99"/>
      <c r="AG43" s="83" t="s">
        <v>168</v>
      </c>
      <c r="AH43" s="338" t="s">
        <v>74</v>
      </c>
      <c r="AI43" s="85" t="s">
        <v>13</v>
      </c>
      <c r="AJ43" s="99"/>
      <c r="AK43" s="83" t="s">
        <v>168</v>
      </c>
      <c r="AL43" s="338" t="s">
        <v>74</v>
      </c>
      <c r="AM43" s="85" t="s">
        <v>13</v>
      </c>
      <c r="AN43" s="99"/>
      <c r="AO43" s="83" t="s">
        <v>168</v>
      </c>
      <c r="AP43" s="338" t="s">
        <v>74</v>
      </c>
      <c r="AQ43" s="85" t="s">
        <v>13</v>
      </c>
      <c r="AR43" s="89">
        <v>0</v>
      </c>
      <c r="AS43" s="83" t="s">
        <v>168</v>
      </c>
      <c r="AT43" s="338" t="s">
        <v>74</v>
      </c>
      <c r="AU43" s="85" t="s">
        <v>13</v>
      </c>
      <c r="AV43" s="99"/>
      <c r="AW43" s="83" t="s">
        <v>168</v>
      </c>
      <c r="AX43" s="338" t="s">
        <v>74</v>
      </c>
      <c r="AY43" s="85" t="s">
        <v>13</v>
      </c>
      <c r="AZ43" s="89"/>
      <c r="BA43" s="83" t="s">
        <v>168</v>
      </c>
      <c r="BB43" s="338" t="s">
        <v>74</v>
      </c>
      <c r="BC43" s="85" t="s">
        <v>13</v>
      </c>
      <c r="BD43" s="109"/>
    </row>
    <row r="44" spans="1:56" s="69" customFormat="1" ht="18.75">
      <c r="A44" s="83" t="s">
        <v>169</v>
      </c>
      <c r="B44" s="110" t="s">
        <v>331</v>
      </c>
      <c r="C44" s="111" t="s">
        <v>10</v>
      </c>
      <c r="D44" s="239">
        <f t="shared" si="0"/>
        <v>10</v>
      </c>
      <c r="E44" s="83" t="s">
        <v>169</v>
      </c>
      <c r="F44" s="110" t="s">
        <v>331</v>
      </c>
      <c r="G44" s="111" t="s">
        <v>10</v>
      </c>
      <c r="H44" s="112"/>
      <c r="I44" s="83" t="s">
        <v>169</v>
      </c>
      <c r="J44" s="110" t="s">
        <v>331</v>
      </c>
      <c r="K44" s="111" t="s">
        <v>10</v>
      </c>
      <c r="L44" s="112"/>
      <c r="M44" s="83" t="s">
        <v>169</v>
      </c>
      <c r="N44" s="110" t="s">
        <v>331</v>
      </c>
      <c r="O44" s="111" t="s">
        <v>10</v>
      </c>
      <c r="P44" s="139"/>
      <c r="Q44" s="83" t="s">
        <v>169</v>
      </c>
      <c r="R44" s="110" t="s">
        <v>331</v>
      </c>
      <c r="S44" s="111" t="s">
        <v>10</v>
      </c>
      <c r="T44" s="139"/>
      <c r="U44" s="83" t="s">
        <v>169</v>
      </c>
      <c r="V44" s="110" t="s">
        <v>331</v>
      </c>
      <c r="W44" s="111" t="s">
        <v>10</v>
      </c>
      <c r="X44" s="112"/>
      <c r="Y44" s="83" t="s">
        <v>169</v>
      </c>
      <c r="Z44" s="110" t="s">
        <v>331</v>
      </c>
      <c r="AA44" s="111" t="s">
        <v>10</v>
      </c>
      <c r="AB44" s="112"/>
      <c r="AC44" s="83" t="s">
        <v>169</v>
      </c>
      <c r="AD44" s="110" t="s">
        <v>331</v>
      </c>
      <c r="AE44" s="111" t="s">
        <v>10</v>
      </c>
      <c r="AF44" s="112"/>
      <c r="AG44" s="83" t="s">
        <v>169</v>
      </c>
      <c r="AH44" s="110" t="s">
        <v>331</v>
      </c>
      <c r="AI44" s="111" t="s">
        <v>10</v>
      </c>
      <c r="AJ44" s="112"/>
      <c r="AK44" s="83" t="s">
        <v>169</v>
      </c>
      <c r="AL44" s="110" t="s">
        <v>331</v>
      </c>
      <c r="AM44" s="111" t="s">
        <v>10</v>
      </c>
      <c r="AN44" s="112">
        <v>10</v>
      </c>
      <c r="AO44" s="83" t="s">
        <v>169</v>
      </c>
      <c r="AP44" s="110" t="s">
        <v>331</v>
      </c>
      <c r="AQ44" s="111" t="s">
        <v>10</v>
      </c>
      <c r="AR44" s="112"/>
      <c r="AS44" s="83" t="s">
        <v>169</v>
      </c>
      <c r="AT44" s="110" t="s">
        <v>331</v>
      </c>
      <c r="AU44" s="111" t="s">
        <v>10</v>
      </c>
      <c r="AV44" s="139"/>
      <c r="AW44" s="83" t="s">
        <v>169</v>
      </c>
      <c r="AX44" s="110" t="s">
        <v>331</v>
      </c>
      <c r="AY44" s="111" t="s">
        <v>10</v>
      </c>
      <c r="AZ44" s="112"/>
      <c r="BA44" s="83" t="s">
        <v>169</v>
      </c>
      <c r="BB44" s="110" t="s">
        <v>331</v>
      </c>
      <c r="BC44" s="111" t="s">
        <v>10</v>
      </c>
      <c r="BD44" s="142"/>
    </row>
    <row r="45" spans="1:56" ht="18.75" hidden="1">
      <c r="A45" s="83" t="s">
        <v>170</v>
      </c>
      <c r="B45" s="84" t="s">
        <v>330</v>
      </c>
      <c r="C45" s="85" t="s">
        <v>10</v>
      </c>
      <c r="D45" s="229">
        <f t="shared" si="0"/>
        <v>0</v>
      </c>
      <c r="E45" s="83" t="s">
        <v>170</v>
      </c>
      <c r="F45" s="84" t="s">
        <v>330</v>
      </c>
      <c r="G45" s="85" t="s">
        <v>10</v>
      </c>
      <c r="H45" s="101"/>
      <c r="I45" s="83" t="s">
        <v>170</v>
      </c>
      <c r="J45" s="84" t="s">
        <v>330</v>
      </c>
      <c r="K45" s="85" t="s">
        <v>10</v>
      </c>
      <c r="L45" s="101"/>
      <c r="M45" s="83" t="s">
        <v>170</v>
      </c>
      <c r="N45" s="84" t="s">
        <v>330</v>
      </c>
      <c r="O45" s="85" t="s">
        <v>10</v>
      </c>
      <c r="P45" s="99"/>
      <c r="Q45" s="83" t="s">
        <v>170</v>
      </c>
      <c r="R45" s="84" t="s">
        <v>330</v>
      </c>
      <c r="S45" s="85" t="s">
        <v>10</v>
      </c>
      <c r="T45" s="99"/>
      <c r="U45" s="83" t="s">
        <v>170</v>
      </c>
      <c r="V45" s="84" t="s">
        <v>330</v>
      </c>
      <c r="W45" s="85" t="s">
        <v>10</v>
      </c>
      <c r="X45" s="101"/>
      <c r="Y45" s="83" t="s">
        <v>170</v>
      </c>
      <c r="Z45" s="84" t="s">
        <v>330</v>
      </c>
      <c r="AA45" s="85" t="s">
        <v>10</v>
      </c>
      <c r="AB45" s="101"/>
      <c r="AC45" s="83" t="s">
        <v>170</v>
      </c>
      <c r="AD45" s="84" t="s">
        <v>330</v>
      </c>
      <c r="AE45" s="85" t="s">
        <v>10</v>
      </c>
      <c r="AF45" s="99"/>
      <c r="AG45" s="83" t="s">
        <v>170</v>
      </c>
      <c r="AH45" s="84" t="s">
        <v>330</v>
      </c>
      <c r="AI45" s="85" t="s">
        <v>10</v>
      </c>
      <c r="AJ45" s="99"/>
      <c r="AK45" s="83" t="s">
        <v>170</v>
      </c>
      <c r="AL45" s="84" t="s">
        <v>330</v>
      </c>
      <c r="AM45" s="85" t="s">
        <v>10</v>
      </c>
      <c r="AN45" s="101"/>
      <c r="AO45" s="83" t="s">
        <v>170</v>
      </c>
      <c r="AP45" s="84" t="s">
        <v>330</v>
      </c>
      <c r="AQ45" s="85" t="s">
        <v>10</v>
      </c>
      <c r="AR45" s="101"/>
      <c r="AS45" s="83" t="s">
        <v>170</v>
      </c>
      <c r="AT45" s="84" t="s">
        <v>330</v>
      </c>
      <c r="AU45" s="85" t="s">
        <v>10</v>
      </c>
      <c r="AV45" s="99"/>
      <c r="AW45" s="83" t="s">
        <v>170</v>
      </c>
      <c r="AX45" s="84" t="s">
        <v>330</v>
      </c>
      <c r="AY45" s="85" t="s">
        <v>10</v>
      </c>
      <c r="AZ45" s="101"/>
      <c r="BA45" s="83" t="s">
        <v>170</v>
      </c>
      <c r="BB45" s="84" t="s">
        <v>330</v>
      </c>
      <c r="BC45" s="85" t="s">
        <v>10</v>
      </c>
      <c r="BD45" s="109"/>
    </row>
    <row r="46" spans="1:56" ht="18.75">
      <c r="A46" s="83" t="s">
        <v>171</v>
      </c>
      <c r="B46" s="84" t="s">
        <v>340</v>
      </c>
      <c r="C46" s="85" t="s">
        <v>10</v>
      </c>
      <c r="D46" s="229">
        <f t="shared" si="0"/>
        <v>44</v>
      </c>
      <c r="E46" s="83" t="s">
        <v>171</v>
      </c>
      <c r="F46" s="84" t="s">
        <v>340</v>
      </c>
      <c r="G46" s="85" t="s">
        <v>10</v>
      </c>
      <c r="H46" s="101"/>
      <c r="I46" s="83" t="s">
        <v>171</v>
      </c>
      <c r="J46" s="84" t="s">
        <v>340</v>
      </c>
      <c r="K46" s="85" t="s">
        <v>10</v>
      </c>
      <c r="L46" s="101"/>
      <c r="M46" s="83" t="s">
        <v>171</v>
      </c>
      <c r="N46" s="84" t="s">
        <v>340</v>
      </c>
      <c r="O46" s="85" t="s">
        <v>10</v>
      </c>
      <c r="P46" s="99"/>
      <c r="Q46" s="83" t="s">
        <v>171</v>
      </c>
      <c r="R46" s="84" t="s">
        <v>340</v>
      </c>
      <c r="S46" s="85" t="s">
        <v>10</v>
      </c>
      <c r="T46" s="99"/>
      <c r="U46" s="83" t="s">
        <v>171</v>
      </c>
      <c r="V46" s="84" t="s">
        <v>340</v>
      </c>
      <c r="W46" s="85" t="s">
        <v>10</v>
      </c>
      <c r="X46" s="101"/>
      <c r="Y46" s="83" t="s">
        <v>171</v>
      </c>
      <c r="Z46" s="84" t="s">
        <v>340</v>
      </c>
      <c r="AA46" s="85" t="s">
        <v>10</v>
      </c>
      <c r="AB46" s="101"/>
      <c r="AC46" s="83" t="s">
        <v>171</v>
      </c>
      <c r="AD46" s="84" t="s">
        <v>340</v>
      </c>
      <c r="AE46" s="85" t="s">
        <v>10</v>
      </c>
      <c r="AF46" s="99"/>
      <c r="AG46" s="83" t="s">
        <v>171</v>
      </c>
      <c r="AH46" s="84" t="s">
        <v>340</v>
      </c>
      <c r="AI46" s="85" t="s">
        <v>10</v>
      </c>
      <c r="AJ46" s="99"/>
      <c r="AK46" s="83" t="s">
        <v>171</v>
      </c>
      <c r="AL46" s="84" t="s">
        <v>340</v>
      </c>
      <c r="AM46" s="85" t="s">
        <v>10</v>
      </c>
      <c r="AN46" s="101"/>
      <c r="AO46" s="83" t="s">
        <v>171</v>
      </c>
      <c r="AP46" s="84" t="s">
        <v>340</v>
      </c>
      <c r="AQ46" s="85" t="s">
        <v>10</v>
      </c>
      <c r="AR46" s="101">
        <v>44</v>
      </c>
      <c r="AS46" s="83" t="s">
        <v>171</v>
      </c>
      <c r="AT46" s="84" t="s">
        <v>340</v>
      </c>
      <c r="AU46" s="85" t="s">
        <v>10</v>
      </c>
      <c r="AV46" s="99"/>
      <c r="AW46" s="83" t="s">
        <v>171</v>
      </c>
      <c r="AX46" s="84" t="s">
        <v>340</v>
      </c>
      <c r="AY46" s="85" t="s">
        <v>10</v>
      </c>
      <c r="AZ46" s="101"/>
      <c r="BA46" s="83" t="s">
        <v>171</v>
      </c>
      <c r="BB46" s="84" t="s">
        <v>340</v>
      </c>
      <c r="BC46" s="85" t="s">
        <v>10</v>
      </c>
      <c r="BD46" s="109"/>
    </row>
    <row r="47" spans="1:56" ht="18.75">
      <c r="A47" s="83" t="s">
        <v>172</v>
      </c>
      <c r="B47" s="84" t="s">
        <v>332</v>
      </c>
      <c r="C47" s="85" t="s">
        <v>10</v>
      </c>
      <c r="D47" s="229">
        <f t="shared" si="0"/>
        <v>12</v>
      </c>
      <c r="E47" s="83" t="s">
        <v>172</v>
      </c>
      <c r="F47" s="84" t="s">
        <v>332</v>
      </c>
      <c r="G47" s="85" t="s">
        <v>10</v>
      </c>
      <c r="H47" s="101">
        <v>1</v>
      </c>
      <c r="I47" s="83" t="s">
        <v>172</v>
      </c>
      <c r="J47" s="84" t="s">
        <v>332</v>
      </c>
      <c r="K47" s="85" t="s">
        <v>10</v>
      </c>
      <c r="L47" s="101">
        <f>2*0</f>
        <v>0</v>
      </c>
      <c r="M47" s="83" t="s">
        <v>172</v>
      </c>
      <c r="N47" s="84" t="s">
        <v>332</v>
      </c>
      <c r="O47" s="85" t="s">
        <v>10</v>
      </c>
      <c r="P47" s="101">
        <v>1</v>
      </c>
      <c r="Q47" s="83" t="s">
        <v>172</v>
      </c>
      <c r="R47" s="84" t="s">
        <v>332</v>
      </c>
      <c r="S47" s="85" t="s">
        <v>10</v>
      </c>
      <c r="T47" s="101">
        <v>1</v>
      </c>
      <c r="U47" s="83" t="s">
        <v>172</v>
      </c>
      <c r="V47" s="84" t="s">
        <v>332</v>
      </c>
      <c r="W47" s="85" t="s">
        <v>10</v>
      </c>
      <c r="X47" s="101">
        <v>2</v>
      </c>
      <c r="Y47" s="83" t="s">
        <v>172</v>
      </c>
      <c r="Z47" s="84" t="s">
        <v>332</v>
      </c>
      <c r="AA47" s="85" t="s">
        <v>10</v>
      </c>
      <c r="AB47" s="101"/>
      <c r="AC47" s="83" t="s">
        <v>172</v>
      </c>
      <c r="AD47" s="84" t="s">
        <v>332</v>
      </c>
      <c r="AE47" s="85" t="s">
        <v>10</v>
      </c>
      <c r="AF47" s="101"/>
      <c r="AG47" s="83" t="s">
        <v>172</v>
      </c>
      <c r="AH47" s="84" t="s">
        <v>332</v>
      </c>
      <c r="AI47" s="85" t="s">
        <v>10</v>
      </c>
      <c r="AJ47" s="101"/>
      <c r="AK47" s="83" t="s">
        <v>172</v>
      </c>
      <c r="AL47" s="84" t="s">
        <v>332</v>
      </c>
      <c r="AM47" s="85" t="s">
        <v>10</v>
      </c>
      <c r="AN47" s="101"/>
      <c r="AO47" s="83" t="s">
        <v>172</v>
      </c>
      <c r="AP47" s="84" t="s">
        <v>332</v>
      </c>
      <c r="AQ47" s="85" t="s">
        <v>10</v>
      </c>
      <c r="AR47" s="101"/>
      <c r="AS47" s="83" t="s">
        <v>172</v>
      </c>
      <c r="AT47" s="84" t="s">
        <v>332</v>
      </c>
      <c r="AU47" s="85" t="s">
        <v>10</v>
      </c>
      <c r="AV47" s="101">
        <v>4</v>
      </c>
      <c r="AW47" s="83" t="s">
        <v>172</v>
      </c>
      <c r="AX47" s="84" t="s">
        <v>332</v>
      </c>
      <c r="AY47" s="85" t="s">
        <v>10</v>
      </c>
      <c r="AZ47" s="101">
        <v>2</v>
      </c>
      <c r="BA47" s="83" t="s">
        <v>172</v>
      </c>
      <c r="BB47" s="84" t="s">
        <v>332</v>
      </c>
      <c r="BC47" s="85" t="s">
        <v>10</v>
      </c>
      <c r="BD47" s="101">
        <v>1</v>
      </c>
    </row>
    <row r="48" spans="1:56" ht="18.75">
      <c r="A48" s="83" t="s">
        <v>89</v>
      </c>
      <c r="B48" s="338" t="s">
        <v>26</v>
      </c>
      <c r="C48" s="85" t="s">
        <v>25</v>
      </c>
      <c r="D48" s="229"/>
      <c r="E48" s="83" t="s">
        <v>89</v>
      </c>
      <c r="F48" s="338" t="s">
        <v>26</v>
      </c>
      <c r="G48" s="85" t="s">
        <v>25</v>
      </c>
      <c r="H48" s="100"/>
      <c r="I48" s="83" t="s">
        <v>89</v>
      </c>
      <c r="J48" s="338" t="s">
        <v>26</v>
      </c>
      <c r="K48" s="85" t="s">
        <v>25</v>
      </c>
      <c r="L48" s="99"/>
      <c r="M48" s="83" t="s">
        <v>89</v>
      </c>
      <c r="N48" s="338" t="s">
        <v>26</v>
      </c>
      <c r="O48" s="85" t="s">
        <v>25</v>
      </c>
      <c r="P48" s="99"/>
      <c r="Q48" s="83" t="s">
        <v>89</v>
      </c>
      <c r="R48" s="338" t="s">
        <v>26</v>
      </c>
      <c r="S48" s="85" t="s">
        <v>25</v>
      </c>
      <c r="T48" s="99"/>
      <c r="U48" s="83" t="s">
        <v>89</v>
      </c>
      <c r="V48" s="338" t="s">
        <v>26</v>
      </c>
      <c r="W48" s="85" t="s">
        <v>25</v>
      </c>
      <c r="X48" s="99"/>
      <c r="Y48" s="83" t="s">
        <v>89</v>
      </c>
      <c r="Z48" s="338" t="s">
        <v>26</v>
      </c>
      <c r="AA48" s="85" t="s">
        <v>25</v>
      </c>
      <c r="AB48" s="99"/>
      <c r="AC48" s="83" t="s">
        <v>89</v>
      </c>
      <c r="AD48" s="338" t="s">
        <v>26</v>
      </c>
      <c r="AE48" s="85" t="s">
        <v>25</v>
      </c>
      <c r="AF48" s="99"/>
      <c r="AG48" s="83" t="s">
        <v>89</v>
      </c>
      <c r="AH48" s="338" t="s">
        <v>26</v>
      </c>
      <c r="AI48" s="85" t="s">
        <v>25</v>
      </c>
      <c r="AJ48" s="99"/>
      <c r="AK48" s="83" t="s">
        <v>89</v>
      </c>
      <c r="AL48" s="338" t="s">
        <v>26</v>
      </c>
      <c r="AM48" s="85" t="s">
        <v>25</v>
      </c>
      <c r="AN48" s="99"/>
      <c r="AO48" s="83" t="s">
        <v>89</v>
      </c>
      <c r="AP48" s="338" t="s">
        <v>26</v>
      </c>
      <c r="AQ48" s="85" t="s">
        <v>25</v>
      </c>
      <c r="AR48" s="99"/>
      <c r="AS48" s="83" t="s">
        <v>89</v>
      </c>
      <c r="AT48" s="338" t="s">
        <v>26</v>
      </c>
      <c r="AU48" s="85" t="s">
        <v>25</v>
      </c>
      <c r="AV48" s="99"/>
      <c r="AW48" s="83" t="s">
        <v>89</v>
      </c>
      <c r="AX48" s="338" t="s">
        <v>26</v>
      </c>
      <c r="AY48" s="85" t="s">
        <v>25</v>
      </c>
      <c r="AZ48" s="99"/>
      <c r="BA48" s="83" t="s">
        <v>89</v>
      </c>
      <c r="BB48" s="338" t="s">
        <v>26</v>
      </c>
      <c r="BC48" s="85" t="s">
        <v>25</v>
      </c>
      <c r="BD48" s="109"/>
    </row>
    <row r="49" spans="1:56" s="133" customFormat="1" ht="18.75" customHeight="1" hidden="1">
      <c r="A49" s="131" t="s">
        <v>173</v>
      </c>
      <c r="B49" s="371" t="s">
        <v>140</v>
      </c>
      <c r="C49" s="128" t="s">
        <v>256</v>
      </c>
      <c r="D49" s="234">
        <f>H49+L49+P49+T49+X49+AB49+AF49+AJ49+AN49+AR49+AV49+AZ49+BD49</f>
        <v>0</v>
      </c>
      <c r="E49" s="131" t="s">
        <v>173</v>
      </c>
      <c r="F49" s="371" t="s">
        <v>140</v>
      </c>
      <c r="G49" s="128" t="s">
        <v>256</v>
      </c>
      <c r="H49" s="132"/>
      <c r="I49" s="131" t="s">
        <v>173</v>
      </c>
      <c r="J49" s="371" t="s">
        <v>140</v>
      </c>
      <c r="K49" s="128" t="s">
        <v>256</v>
      </c>
      <c r="L49" s="130"/>
      <c r="M49" s="131" t="s">
        <v>173</v>
      </c>
      <c r="N49" s="371" t="s">
        <v>140</v>
      </c>
      <c r="O49" s="128" t="s">
        <v>256</v>
      </c>
      <c r="P49" s="130"/>
      <c r="Q49" s="131" t="s">
        <v>173</v>
      </c>
      <c r="R49" s="371" t="s">
        <v>140</v>
      </c>
      <c r="S49" s="128" t="s">
        <v>256</v>
      </c>
      <c r="T49" s="130"/>
      <c r="U49" s="131" t="s">
        <v>173</v>
      </c>
      <c r="V49" s="371" t="s">
        <v>140</v>
      </c>
      <c r="W49" s="128" t="s">
        <v>256</v>
      </c>
      <c r="X49" s="130"/>
      <c r="Y49" s="131" t="s">
        <v>173</v>
      </c>
      <c r="Z49" s="371" t="s">
        <v>140</v>
      </c>
      <c r="AA49" s="128" t="s">
        <v>256</v>
      </c>
      <c r="AB49" s="130"/>
      <c r="AC49" s="131" t="s">
        <v>173</v>
      </c>
      <c r="AD49" s="371" t="s">
        <v>140</v>
      </c>
      <c r="AE49" s="128" t="s">
        <v>256</v>
      </c>
      <c r="AF49" s="130"/>
      <c r="AG49" s="131" t="s">
        <v>173</v>
      </c>
      <c r="AH49" s="371" t="s">
        <v>140</v>
      </c>
      <c r="AI49" s="128" t="s">
        <v>256</v>
      </c>
      <c r="AJ49" s="130"/>
      <c r="AK49" s="131" t="s">
        <v>173</v>
      </c>
      <c r="AL49" s="371" t="s">
        <v>140</v>
      </c>
      <c r="AM49" s="128" t="s">
        <v>256</v>
      </c>
      <c r="AN49" s="130"/>
      <c r="AO49" s="131" t="s">
        <v>173</v>
      </c>
      <c r="AP49" s="371" t="s">
        <v>140</v>
      </c>
      <c r="AQ49" s="128" t="s">
        <v>256</v>
      </c>
      <c r="AR49" s="130"/>
      <c r="AS49" s="131" t="s">
        <v>173</v>
      </c>
      <c r="AT49" s="371" t="s">
        <v>140</v>
      </c>
      <c r="AU49" s="128" t="s">
        <v>256</v>
      </c>
      <c r="AV49" s="130"/>
      <c r="AW49" s="131" t="s">
        <v>173</v>
      </c>
      <c r="AX49" s="371" t="s">
        <v>140</v>
      </c>
      <c r="AY49" s="128" t="s">
        <v>256</v>
      </c>
      <c r="AZ49" s="130"/>
      <c r="BA49" s="131" t="s">
        <v>173</v>
      </c>
      <c r="BB49" s="371" t="s">
        <v>140</v>
      </c>
      <c r="BC49" s="128" t="s">
        <v>256</v>
      </c>
      <c r="BD49" s="136"/>
    </row>
    <row r="50" spans="1:56" s="133" customFormat="1" ht="18.75" customHeight="1" hidden="1">
      <c r="A50" s="131" t="s">
        <v>174</v>
      </c>
      <c r="B50" s="371" t="s">
        <v>141</v>
      </c>
      <c r="C50" s="128" t="s">
        <v>15</v>
      </c>
      <c r="D50" s="234">
        <f>H50+L50+P50+T50+X50+AB50+AF50+AJ50+AN50+AR50+AV50+AZ50+BD50</f>
        <v>0</v>
      </c>
      <c r="E50" s="131" t="s">
        <v>174</v>
      </c>
      <c r="F50" s="371" t="s">
        <v>141</v>
      </c>
      <c r="G50" s="128" t="s">
        <v>15</v>
      </c>
      <c r="H50" s="132"/>
      <c r="I50" s="131" t="s">
        <v>174</v>
      </c>
      <c r="J50" s="371" t="s">
        <v>141</v>
      </c>
      <c r="K50" s="128" t="s">
        <v>15</v>
      </c>
      <c r="L50" s="130"/>
      <c r="M50" s="131" t="s">
        <v>174</v>
      </c>
      <c r="N50" s="371" t="s">
        <v>141</v>
      </c>
      <c r="O50" s="128" t="s">
        <v>15</v>
      </c>
      <c r="P50" s="130"/>
      <c r="Q50" s="131" t="s">
        <v>174</v>
      </c>
      <c r="R50" s="371" t="s">
        <v>141</v>
      </c>
      <c r="S50" s="128" t="s">
        <v>15</v>
      </c>
      <c r="T50" s="130"/>
      <c r="U50" s="131" t="s">
        <v>174</v>
      </c>
      <c r="V50" s="371" t="s">
        <v>141</v>
      </c>
      <c r="W50" s="128" t="s">
        <v>15</v>
      </c>
      <c r="X50" s="130"/>
      <c r="Y50" s="131" t="s">
        <v>174</v>
      </c>
      <c r="Z50" s="371" t="s">
        <v>141</v>
      </c>
      <c r="AA50" s="128" t="s">
        <v>15</v>
      </c>
      <c r="AB50" s="130"/>
      <c r="AC50" s="131" t="s">
        <v>174</v>
      </c>
      <c r="AD50" s="371" t="s">
        <v>141</v>
      </c>
      <c r="AE50" s="128" t="s">
        <v>15</v>
      </c>
      <c r="AF50" s="130"/>
      <c r="AG50" s="131" t="s">
        <v>174</v>
      </c>
      <c r="AH50" s="371" t="s">
        <v>141</v>
      </c>
      <c r="AI50" s="128" t="s">
        <v>15</v>
      </c>
      <c r="AJ50" s="130"/>
      <c r="AK50" s="131" t="s">
        <v>174</v>
      </c>
      <c r="AL50" s="371" t="s">
        <v>141</v>
      </c>
      <c r="AM50" s="128" t="s">
        <v>15</v>
      </c>
      <c r="AN50" s="130"/>
      <c r="AO50" s="131" t="s">
        <v>174</v>
      </c>
      <c r="AP50" s="371" t="s">
        <v>141</v>
      </c>
      <c r="AQ50" s="128" t="s">
        <v>15</v>
      </c>
      <c r="AR50" s="130"/>
      <c r="AS50" s="131" t="s">
        <v>174</v>
      </c>
      <c r="AT50" s="371" t="s">
        <v>141</v>
      </c>
      <c r="AU50" s="128" t="s">
        <v>15</v>
      </c>
      <c r="AV50" s="130"/>
      <c r="AW50" s="131" t="s">
        <v>174</v>
      </c>
      <c r="AX50" s="371" t="s">
        <v>141</v>
      </c>
      <c r="AY50" s="128" t="s">
        <v>15</v>
      </c>
      <c r="AZ50" s="130"/>
      <c r="BA50" s="131" t="s">
        <v>174</v>
      </c>
      <c r="BB50" s="371" t="s">
        <v>141</v>
      </c>
      <c r="BC50" s="128" t="s">
        <v>15</v>
      </c>
      <c r="BD50" s="136"/>
    </row>
    <row r="51" spans="1:56" ht="18.75">
      <c r="A51" s="39"/>
      <c r="B51" s="103" t="s">
        <v>216</v>
      </c>
      <c r="C51" s="104"/>
      <c r="D51" s="236"/>
      <c r="E51" s="39"/>
      <c r="F51" s="103" t="s">
        <v>216</v>
      </c>
      <c r="G51" s="104"/>
      <c r="H51" s="107"/>
      <c r="I51" s="39"/>
      <c r="J51" s="103" t="s">
        <v>216</v>
      </c>
      <c r="K51" s="104"/>
      <c r="L51" s="105"/>
      <c r="M51" s="39"/>
      <c r="N51" s="103" t="s">
        <v>216</v>
      </c>
      <c r="O51" s="104"/>
      <c r="P51" s="105"/>
      <c r="Q51" s="39"/>
      <c r="R51" s="103" t="s">
        <v>216</v>
      </c>
      <c r="S51" s="104"/>
      <c r="T51" s="105"/>
      <c r="U51" s="39"/>
      <c r="V51" s="103" t="s">
        <v>216</v>
      </c>
      <c r="W51" s="104"/>
      <c r="X51" s="105"/>
      <c r="Y51" s="39"/>
      <c r="Z51" s="103" t="s">
        <v>216</v>
      </c>
      <c r="AA51" s="104"/>
      <c r="AB51" s="105"/>
      <c r="AC51" s="39"/>
      <c r="AD51" s="103" t="s">
        <v>216</v>
      </c>
      <c r="AE51" s="104"/>
      <c r="AF51" s="105"/>
      <c r="AG51" s="39"/>
      <c r="AH51" s="103" t="s">
        <v>216</v>
      </c>
      <c r="AI51" s="104"/>
      <c r="AJ51" s="105"/>
      <c r="AK51" s="39"/>
      <c r="AL51" s="103" t="s">
        <v>216</v>
      </c>
      <c r="AM51" s="104"/>
      <c r="AN51" s="105"/>
      <c r="AO51" s="39"/>
      <c r="AP51" s="103" t="s">
        <v>216</v>
      </c>
      <c r="AQ51" s="104"/>
      <c r="AR51" s="105"/>
      <c r="AS51" s="39"/>
      <c r="AT51" s="103" t="s">
        <v>216</v>
      </c>
      <c r="AU51" s="104"/>
      <c r="AV51" s="105"/>
      <c r="AW51" s="39"/>
      <c r="AX51" s="103" t="s">
        <v>216</v>
      </c>
      <c r="AY51" s="104"/>
      <c r="AZ51" s="105"/>
      <c r="BA51" s="39"/>
      <c r="BB51" s="103" t="s">
        <v>216</v>
      </c>
      <c r="BC51" s="104"/>
      <c r="BD51" s="126"/>
    </row>
    <row r="52" spans="1:56" s="401" customFormat="1" ht="18.75">
      <c r="A52" s="397" t="s">
        <v>156</v>
      </c>
      <c r="B52" s="372" t="s">
        <v>44</v>
      </c>
      <c r="C52" s="398"/>
      <c r="D52" s="231"/>
      <c r="E52" s="397" t="s">
        <v>156</v>
      </c>
      <c r="F52" s="372" t="s">
        <v>44</v>
      </c>
      <c r="G52" s="398"/>
      <c r="H52" s="402"/>
      <c r="I52" s="397" t="s">
        <v>156</v>
      </c>
      <c r="J52" s="372" t="s">
        <v>44</v>
      </c>
      <c r="K52" s="398"/>
      <c r="L52" s="231"/>
      <c r="M52" s="397" t="s">
        <v>156</v>
      </c>
      <c r="N52" s="372" t="s">
        <v>44</v>
      </c>
      <c r="O52" s="398"/>
      <c r="P52" s="231"/>
      <c r="Q52" s="397" t="s">
        <v>156</v>
      </c>
      <c r="R52" s="372" t="s">
        <v>44</v>
      </c>
      <c r="S52" s="398"/>
      <c r="T52" s="231"/>
      <c r="U52" s="397" t="s">
        <v>156</v>
      </c>
      <c r="V52" s="372" t="s">
        <v>44</v>
      </c>
      <c r="W52" s="398"/>
      <c r="X52" s="231"/>
      <c r="Y52" s="397" t="s">
        <v>156</v>
      </c>
      <c r="Z52" s="372" t="s">
        <v>44</v>
      </c>
      <c r="AA52" s="398"/>
      <c r="AB52" s="231"/>
      <c r="AC52" s="397" t="s">
        <v>156</v>
      </c>
      <c r="AD52" s="372" t="s">
        <v>44</v>
      </c>
      <c r="AE52" s="398"/>
      <c r="AF52" s="231"/>
      <c r="AG52" s="397" t="s">
        <v>156</v>
      </c>
      <c r="AH52" s="372" t="s">
        <v>44</v>
      </c>
      <c r="AI52" s="398"/>
      <c r="AJ52" s="231"/>
      <c r="AK52" s="397" t="s">
        <v>156</v>
      </c>
      <c r="AL52" s="372" t="s">
        <v>44</v>
      </c>
      <c r="AM52" s="398"/>
      <c r="AN52" s="231"/>
      <c r="AO52" s="397" t="s">
        <v>156</v>
      </c>
      <c r="AP52" s="372" t="s">
        <v>44</v>
      </c>
      <c r="AQ52" s="398"/>
      <c r="AR52" s="231"/>
      <c r="AS52" s="397" t="s">
        <v>156</v>
      </c>
      <c r="AT52" s="372" t="s">
        <v>44</v>
      </c>
      <c r="AU52" s="398"/>
      <c r="AV52" s="231"/>
      <c r="AW52" s="397" t="s">
        <v>156</v>
      </c>
      <c r="AX52" s="372" t="s">
        <v>44</v>
      </c>
      <c r="AY52" s="398"/>
      <c r="AZ52" s="231"/>
      <c r="BA52" s="397" t="s">
        <v>156</v>
      </c>
      <c r="BB52" s="372" t="s">
        <v>44</v>
      </c>
      <c r="BC52" s="398"/>
      <c r="BD52" s="405"/>
    </row>
    <row r="53" spans="1:56" s="289" customFormat="1" ht="18.75" customHeight="1" hidden="1">
      <c r="A53" s="143" t="s">
        <v>173</v>
      </c>
      <c r="B53" s="91" t="s">
        <v>36</v>
      </c>
      <c r="C53" s="343" t="s">
        <v>20</v>
      </c>
      <c r="D53" s="240">
        <f aca="true" t="shared" si="1" ref="D53:D60">H53+L53+P53+T53+X53+AB53+AF53+AJ53+AN53+AR53+AV53+AZ53+BD53</f>
        <v>0</v>
      </c>
      <c r="E53" s="143" t="s">
        <v>173</v>
      </c>
      <c r="F53" s="91" t="s">
        <v>36</v>
      </c>
      <c r="G53" s="343" t="s">
        <v>20</v>
      </c>
      <c r="H53" s="288"/>
      <c r="I53" s="143" t="s">
        <v>173</v>
      </c>
      <c r="J53" s="91" t="s">
        <v>36</v>
      </c>
      <c r="K53" s="343" t="s">
        <v>20</v>
      </c>
      <c r="L53" s="288"/>
      <c r="M53" s="143" t="s">
        <v>173</v>
      </c>
      <c r="N53" s="91" t="s">
        <v>36</v>
      </c>
      <c r="O53" s="343" t="s">
        <v>20</v>
      </c>
      <c r="P53" s="342"/>
      <c r="Q53" s="143" t="s">
        <v>173</v>
      </c>
      <c r="R53" s="91" t="s">
        <v>36</v>
      </c>
      <c r="S53" s="343" t="s">
        <v>20</v>
      </c>
      <c r="T53" s="342"/>
      <c r="U53" s="143" t="s">
        <v>173</v>
      </c>
      <c r="V53" s="91" t="s">
        <v>36</v>
      </c>
      <c r="W53" s="343" t="s">
        <v>20</v>
      </c>
      <c r="X53" s="288"/>
      <c r="Y53" s="143" t="s">
        <v>173</v>
      </c>
      <c r="Z53" s="91" t="s">
        <v>36</v>
      </c>
      <c r="AA53" s="343" t="s">
        <v>20</v>
      </c>
      <c r="AB53" s="288"/>
      <c r="AC53" s="143" t="s">
        <v>173</v>
      </c>
      <c r="AD53" s="91" t="s">
        <v>36</v>
      </c>
      <c r="AE53" s="343" t="s">
        <v>20</v>
      </c>
      <c r="AF53" s="288"/>
      <c r="AG53" s="143" t="s">
        <v>173</v>
      </c>
      <c r="AH53" s="91" t="s">
        <v>36</v>
      </c>
      <c r="AI53" s="343" t="s">
        <v>20</v>
      </c>
      <c r="AJ53" s="288"/>
      <c r="AK53" s="143" t="s">
        <v>173</v>
      </c>
      <c r="AL53" s="91" t="s">
        <v>36</v>
      </c>
      <c r="AM53" s="343" t="s">
        <v>20</v>
      </c>
      <c r="AN53" s="288"/>
      <c r="AO53" s="143" t="s">
        <v>173</v>
      </c>
      <c r="AP53" s="91" t="s">
        <v>36</v>
      </c>
      <c r="AQ53" s="343" t="s">
        <v>20</v>
      </c>
      <c r="AR53" s="288"/>
      <c r="AS53" s="143" t="s">
        <v>173</v>
      </c>
      <c r="AT53" s="91" t="s">
        <v>36</v>
      </c>
      <c r="AU53" s="343" t="s">
        <v>20</v>
      </c>
      <c r="AV53" s="288"/>
      <c r="AW53" s="143" t="s">
        <v>173</v>
      </c>
      <c r="AX53" s="91" t="s">
        <v>36</v>
      </c>
      <c r="AY53" s="343" t="s">
        <v>20</v>
      </c>
      <c r="AZ53" s="288"/>
      <c r="BA53" s="143" t="s">
        <v>173</v>
      </c>
      <c r="BB53" s="91" t="s">
        <v>36</v>
      </c>
      <c r="BC53" s="343" t="s">
        <v>20</v>
      </c>
      <c r="BD53" s="288"/>
    </row>
    <row r="54" spans="1:56" s="69" customFormat="1" ht="18.75" customHeight="1">
      <c r="A54" s="20" t="s">
        <v>174</v>
      </c>
      <c r="B54" s="110" t="s">
        <v>45</v>
      </c>
      <c r="C54" s="111" t="s">
        <v>20</v>
      </c>
      <c r="D54" s="239">
        <f t="shared" si="1"/>
        <v>32</v>
      </c>
      <c r="E54" s="20" t="s">
        <v>174</v>
      </c>
      <c r="F54" s="110" t="s">
        <v>45</v>
      </c>
      <c r="G54" s="111" t="s">
        <v>20</v>
      </c>
      <c r="H54" s="112">
        <f>24-8</f>
        <v>16</v>
      </c>
      <c r="I54" s="20" t="s">
        <v>174</v>
      </c>
      <c r="J54" s="110" t="s">
        <v>45</v>
      </c>
      <c r="K54" s="111" t="s">
        <v>20</v>
      </c>
      <c r="L54" s="112"/>
      <c r="M54" s="20" t="s">
        <v>174</v>
      </c>
      <c r="N54" s="110" t="s">
        <v>45</v>
      </c>
      <c r="O54" s="111" t="s">
        <v>20</v>
      </c>
      <c r="P54" s="142"/>
      <c r="Q54" s="20" t="s">
        <v>174</v>
      </c>
      <c r="R54" s="110" t="s">
        <v>45</v>
      </c>
      <c r="S54" s="111" t="s">
        <v>20</v>
      </c>
      <c r="T54" s="139"/>
      <c r="U54" s="20" t="s">
        <v>174</v>
      </c>
      <c r="V54" s="110" t="s">
        <v>45</v>
      </c>
      <c r="W54" s="111" t="s">
        <v>20</v>
      </c>
      <c r="X54" s="112">
        <f>8+8</f>
        <v>16</v>
      </c>
      <c r="Y54" s="20" t="s">
        <v>174</v>
      </c>
      <c r="Z54" s="110" t="s">
        <v>45</v>
      </c>
      <c r="AA54" s="111" t="s">
        <v>20</v>
      </c>
      <c r="AB54" s="112"/>
      <c r="AC54" s="20" t="s">
        <v>174</v>
      </c>
      <c r="AD54" s="110" t="s">
        <v>45</v>
      </c>
      <c r="AE54" s="111" t="s">
        <v>20</v>
      </c>
      <c r="AF54" s="112"/>
      <c r="AG54" s="20" t="s">
        <v>174</v>
      </c>
      <c r="AH54" s="110" t="s">
        <v>45</v>
      </c>
      <c r="AI54" s="111" t="s">
        <v>20</v>
      </c>
      <c r="AJ54" s="668"/>
      <c r="AK54" s="20" t="s">
        <v>174</v>
      </c>
      <c r="AL54" s="110" t="s">
        <v>45</v>
      </c>
      <c r="AM54" s="111" t="s">
        <v>20</v>
      </c>
      <c r="AN54" s="112"/>
      <c r="AO54" s="20" t="s">
        <v>174</v>
      </c>
      <c r="AP54" s="110" t="s">
        <v>45</v>
      </c>
      <c r="AQ54" s="111" t="s">
        <v>20</v>
      </c>
      <c r="AR54" s="112"/>
      <c r="AS54" s="20" t="s">
        <v>174</v>
      </c>
      <c r="AT54" s="110" t="s">
        <v>45</v>
      </c>
      <c r="AU54" s="111" t="s">
        <v>20</v>
      </c>
      <c r="AV54" s="139"/>
      <c r="AW54" s="20" t="s">
        <v>174</v>
      </c>
      <c r="AX54" s="110" t="s">
        <v>45</v>
      </c>
      <c r="AY54" s="111" t="s">
        <v>20</v>
      </c>
      <c r="AZ54" s="112"/>
      <c r="BA54" s="20" t="s">
        <v>174</v>
      </c>
      <c r="BB54" s="110" t="s">
        <v>45</v>
      </c>
      <c r="BC54" s="111" t="s">
        <v>20</v>
      </c>
      <c r="BD54" s="142"/>
    </row>
    <row r="55" spans="1:56" s="69" customFormat="1" ht="18.75" hidden="1">
      <c r="A55" s="20" t="s">
        <v>175</v>
      </c>
      <c r="B55" s="110" t="s">
        <v>145</v>
      </c>
      <c r="C55" s="111" t="s">
        <v>20</v>
      </c>
      <c r="D55" s="239">
        <f t="shared" si="1"/>
        <v>0</v>
      </c>
      <c r="E55" s="20" t="s">
        <v>175</v>
      </c>
      <c r="F55" s="110" t="s">
        <v>145</v>
      </c>
      <c r="G55" s="111" t="s">
        <v>20</v>
      </c>
      <c r="H55" s="112"/>
      <c r="I55" s="20" t="s">
        <v>175</v>
      </c>
      <c r="J55" s="110" t="s">
        <v>145</v>
      </c>
      <c r="K55" s="111" t="s">
        <v>20</v>
      </c>
      <c r="L55" s="112"/>
      <c r="M55" s="20" t="s">
        <v>175</v>
      </c>
      <c r="N55" s="110" t="s">
        <v>145</v>
      </c>
      <c r="O55" s="111" t="s">
        <v>20</v>
      </c>
      <c r="P55" s="112"/>
      <c r="Q55" s="20" t="s">
        <v>175</v>
      </c>
      <c r="R55" s="110" t="s">
        <v>145</v>
      </c>
      <c r="S55" s="111" t="s">
        <v>20</v>
      </c>
      <c r="T55" s="319"/>
      <c r="U55" s="20" t="s">
        <v>175</v>
      </c>
      <c r="V55" s="110" t="s">
        <v>145</v>
      </c>
      <c r="W55" s="111" t="s">
        <v>20</v>
      </c>
      <c r="X55" s="139"/>
      <c r="Y55" s="20" t="s">
        <v>175</v>
      </c>
      <c r="Z55" s="110" t="s">
        <v>145</v>
      </c>
      <c r="AA55" s="111" t="s">
        <v>20</v>
      </c>
      <c r="AB55" s="319"/>
      <c r="AC55" s="20" t="s">
        <v>175</v>
      </c>
      <c r="AD55" s="110" t="s">
        <v>145</v>
      </c>
      <c r="AE55" s="111" t="s">
        <v>20</v>
      </c>
      <c r="AF55" s="112"/>
      <c r="AG55" s="20" t="s">
        <v>175</v>
      </c>
      <c r="AH55" s="110" t="s">
        <v>145</v>
      </c>
      <c r="AI55" s="111" t="s">
        <v>20</v>
      </c>
      <c r="AJ55" s="139"/>
      <c r="AK55" s="20" t="s">
        <v>175</v>
      </c>
      <c r="AL55" s="110" t="s">
        <v>145</v>
      </c>
      <c r="AM55" s="111" t="s">
        <v>20</v>
      </c>
      <c r="AN55" s="139"/>
      <c r="AO55" s="20" t="s">
        <v>175</v>
      </c>
      <c r="AP55" s="110" t="s">
        <v>145</v>
      </c>
      <c r="AQ55" s="111" t="s">
        <v>20</v>
      </c>
      <c r="AR55" s="139"/>
      <c r="AS55" s="20" t="s">
        <v>175</v>
      </c>
      <c r="AT55" s="110" t="s">
        <v>145</v>
      </c>
      <c r="AU55" s="111" t="s">
        <v>20</v>
      </c>
      <c r="AV55" s="139"/>
      <c r="AW55" s="20" t="s">
        <v>175</v>
      </c>
      <c r="AX55" s="110" t="s">
        <v>145</v>
      </c>
      <c r="AY55" s="111" t="s">
        <v>20</v>
      </c>
      <c r="AZ55" s="139"/>
      <c r="BA55" s="20" t="s">
        <v>175</v>
      </c>
      <c r="BB55" s="110" t="s">
        <v>145</v>
      </c>
      <c r="BC55" s="111" t="s">
        <v>20</v>
      </c>
      <c r="BD55" s="112"/>
    </row>
    <row r="56" spans="1:56" s="69" customFormat="1" ht="18.75" customHeight="1" hidden="1">
      <c r="A56" s="20" t="s">
        <v>173</v>
      </c>
      <c r="B56" s="110" t="s">
        <v>207</v>
      </c>
      <c r="C56" s="111" t="s">
        <v>10</v>
      </c>
      <c r="D56" s="239">
        <f t="shared" si="1"/>
        <v>0</v>
      </c>
      <c r="E56" s="20" t="s">
        <v>173</v>
      </c>
      <c r="F56" s="110" t="s">
        <v>207</v>
      </c>
      <c r="G56" s="111" t="s">
        <v>10</v>
      </c>
      <c r="H56" s="112"/>
      <c r="I56" s="20" t="s">
        <v>173</v>
      </c>
      <c r="J56" s="110" t="s">
        <v>207</v>
      </c>
      <c r="K56" s="111" t="s">
        <v>10</v>
      </c>
      <c r="L56" s="112"/>
      <c r="M56" s="20" t="s">
        <v>173</v>
      </c>
      <c r="N56" s="110" t="s">
        <v>207</v>
      </c>
      <c r="O56" s="111" t="s">
        <v>10</v>
      </c>
      <c r="P56" s="142"/>
      <c r="Q56" s="20" t="s">
        <v>173</v>
      </c>
      <c r="R56" s="110" t="s">
        <v>207</v>
      </c>
      <c r="S56" s="111" t="s">
        <v>10</v>
      </c>
      <c r="T56" s="139"/>
      <c r="U56" s="20" t="s">
        <v>173</v>
      </c>
      <c r="V56" s="110" t="s">
        <v>207</v>
      </c>
      <c r="W56" s="111" t="s">
        <v>10</v>
      </c>
      <c r="X56" s="139"/>
      <c r="Y56" s="20" t="s">
        <v>173</v>
      </c>
      <c r="Z56" s="110" t="s">
        <v>207</v>
      </c>
      <c r="AA56" s="111" t="s">
        <v>10</v>
      </c>
      <c r="AB56" s="139"/>
      <c r="AC56" s="20" t="s">
        <v>173</v>
      </c>
      <c r="AD56" s="110" t="s">
        <v>207</v>
      </c>
      <c r="AE56" s="111" t="s">
        <v>10</v>
      </c>
      <c r="AF56" s="112"/>
      <c r="AG56" s="20" t="s">
        <v>173</v>
      </c>
      <c r="AH56" s="110" t="s">
        <v>207</v>
      </c>
      <c r="AI56" s="111" t="s">
        <v>10</v>
      </c>
      <c r="AJ56" s="139"/>
      <c r="AK56" s="20" t="s">
        <v>173</v>
      </c>
      <c r="AL56" s="110" t="s">
        <v>207</v>
      </c>
      <c r="AM56" s="111" t="s">
        <v>10</v>
      </c>
      <c r="AN56" s="139"/>
      <c r="AO56" s="20" t="s">
        <v>173</v>
      </c>
      <c r="AP56" s="110" t="s">
        <v>207</v>
      </c>
      <c r="AQ56" s="111" t="s">
        <v>10</v>
      </c>
      <c r="AR56" s="139"/>
      <c r="AS56" s="20" t="s">
        <v>173</v>
      </c>
      <c r="AT56" s="110" t="s">
        <v>207</v>
      </c>
      <c r="AU56" s="111" t="s">
        <v>10</v>
      </c>
      <c r="AV56" s="139"/>
      <c r="AW56" s="20" t="s">
        <v>173</v>
      </c>
      <c r="AX56" s="110" t="s">
        <v>207</v>
      </c>
      <c r="AY56" s="111" t="s">
        <v>10</v>
      </c>
      <c r="AZ56" s="139"/>
      <c r="BA56" s="20" t="s">
        <v>173</v>
      </c>
      <c r="BB56" s="110" t="s">
        <v>207</v>
      </c>
      <c r="BC56" s="111" t="s">
        <v>10</v>
      </c>
      <c r="BD56" s="142"/>
    </row>
    <row r="57" spans="1:56" s="69" customFormat="1" ht="18.75">
      <c r="A57" s="20" t="s">
        <v>176</v>
      </c>
      <c r="B57" s="110" t="s">
        <v>46</v>
      </c>
      <c r="C57" s="111" t="s">
        <v>13</v>
      </c>
      <c r="D57" s="359">
        <f t="shared" si="1"/>
        <v>0.07</v>
      </c>
      <c r="E57" s="20" t="s">
        <v>176</v>
      </c>
      <c r="F57" s="110" t="s">
        <v>46</v>
      </c>
      <c r="G57" s="111" t="s">
        <v>13</v>
      </c>
      <c r="H57" s="138">
        <v>0.01</v>
      </c>
      <c r="I57" s="20" t="s">
        <v>176</v>
      </c>
      <c r="J57" s="110" t="s">
        <v>46</v>
      </c>
      <c r="K57" s="111" t="s">
        <v>13</v>
      </c>
      <c r="L57" s="138">
        <v>0.01</v>
      </c>
      <c r="M57" s="20" t="s">
        <v>176</v>
      </c>
      <c r="N57" s="110" t="s">
        <v>46</v>
      </c>
      <c r="O57" s="111" t="s">
        <v>13</v>
      </c>
      <c r="P57" s="142"/>
      <c r="Q57" s="20" t="s">
        <v>176</v>
      </c>
      <c r="R57" s="110" t="s">
        <v>46</v>
      </c>
      <c r="S57" s="111" t="s">
        <v>13</v>
      </c>
      <c r="T57" s="139"/>
      <c r="U57" s="20" t="s">
        <v>176</v>
      </c>
      <c r="V57" s="110" t="s">
        <v>46</v>
      </c>
      <c r="W57" s="111" t="s">
        <v>13</v>
      </c>
      <c r="X57" s="138">
        <v>0.01</v>
      </c>
      <c r="Y57" s="20" t="s">
        <v>176</v>
      </c>
      <c r="Z57" s="110" t="s">
        <v>46</v>
      </c>
      <c r="AA57" s="111" t="s">
        <v>13</v>
      </c>
      <c r="AB57" s="138"/>
      <c r="AC57" s="20" t="s">
        <v>176</v>
      </c>
      <c r="AD57" s="110" t="s">
        <v>46</v>
      </c>
      <c r="AE57" s="111" t="s">
        <v>13</v>
      </c>
      <c r="AF57" s="138"/>
      <c r="AG57" s="20" t="s">
        <v>176</v>
      </c>
      <c r="AH57" s="110" t="s">
        <v>46</v>
      </c>
      <c r="AI57" s="111" t="s">
        <v>13</v>
      </c>
      <c r="AJ57" s="138">
        <v>0.01</v>
      </c>
      <c r="AK57" s="20" t="s">
        <v>176</v>
      </c>
      <c r="AL57" s="110" t="s">
        <v>46</v>
      </c>
      <c r="AM57" s="111" t="s">
        <v>13</v>
      </c>
      <c r="AN57" s="138">
        <v>0.01</v>
      </c>
      <c r="AO57" s="20" t="s">
        <v>176</v>
      </c>
      <c r="AP57" s="110" t="s">
        <v>46</v>
      </c>
      <c r="AQ57" s="111" t="s">
        <v>13</v>
      </c>
      <c r="AR57" s="138">
        <v>0.01</v>
      </c>
      <c r="AS57" s="20" t="s">
        <v>176</v>
      </c>
      <c r="AT57" s="110" t="s">
        <v>46</v>
      </c>
      <c r="AU57" s="111" t="s">
        <v>13</v>
      </c>
      <c r="AV57" s="138"/>
      <c r="AW57" s="20" t="s">
        <v>176</v>
      </c>
      <c r="AX57" s="110" t="s">
        <v>46</v>
      </c>
      <c r="AY57" s="111" t="s">
        <v>13</v>
      </c>
      <c r="AZ57" s="138">
        <v>0.01</v>
      </c>
      <c r="BA57" s="20" t="s">
        <v>176</v>
      </c>
      <c r="BB57" s="110" t="s">
        <v>46</v>
      </c>
      <c r="BC57" s="111" t="s">
        <v>13</v>
      </c>
      <c r="BD57" s="142"/>
    </row>
    <row r="58" spans="1:56" ht="18.75" customHeight="1" hidden="1">
      <c r="A58" s="20" t="s">
        <v>177</v>
      </c>
      <c r="B58" s="84" t="s">
        <v>38</v>
      </c>
      <c r="C58" s="85" t="s">
        <v>10</v>
      </c>
      <c r="D58" s="229">
        <f t="shared" si="1"/>
        <v>0</v>
      </c>
      <c r="E58" s="20" t="s">
        <v>177</v>
      </c>
      <c r="F58" s="84" t="s">
        <v>38</v>
      </c>
      <c r="G58" s="85" t="s">
        <v>10</v>
      </c>
      <c r="H58" s="100"/>
      <c r="I58" s="20" t="s">
        <v>177</v>
      </c>
      <c r="J58" s="84" t="s">
        <v>38</v>
      </c>
      <c r="K58" s="85" t="s">
        <v>10</v>
      </c>
      <c r="L58" s="101"/>
      <c r="M58" s="20" t="s">
        <v>177</v>
      </c>
      <c r="N58" s="84" t="s">
        <v>38</v>
      </c>
      <c r="O58" s="85" t="s">
        <v>10</v>
      </c>
      <c r="P58" s="349"/>
      <c r="Q58" s="20" t="s">
        <v>177</v>
      </c>
      <c r="R58" s="84" t="s">
        <v>38</v>
      </c>
      <c r="S58" s="85" t="s">
        <v>10</v>
      </c>
      <c r="T58" s="101"/>
      <c r="U58" s="20" t="s">
        <v>177</v>
      </c>
      <c r="V58" s="84" t="s">
        <v>38</v>
      </c>
      <c r="W58" s="85" t="s">
        <v>10</v>
      </c>
      <c r="X58" s="101"/>
      <c r="Y58" s="20" t="s">
        <v>177</v>
      </c>
      <c r="Z58" s="84" t="s">
        <v>38</v>
      </c>
      <c r="AA58" s="85" t="s">
        <v>10</v>
      </c>
      <c r="AB58" s="101"/>
      <c r="AC58" s="20" t="s">
        <v>177</v>
      </c>
      <c r="AD58" s="84" t="s">
        <v>38</v>
      </c>
      <c r="AE58" s="85" t="s">
        <v>10</v>
      </c>
      <c r="AF58" s="101"/>
      <c r="AG58" s="20" t="s">
        <v>177</v>
      </c>
      <c r="AH58" s="84" t="s">
        <v>38</v>
      </c>
      <c r="AI58" s="85" t="s">
        <v>10</v>
      </c>
      <c r="AJ58" s="101"/>
      <c r="AK58" s="20" t="s">
        <v>177</v>
      </c>
      <c r="AL58" s="84" t="s">
        <v>38</v>
      </c>
      <c r="AM58" s="85" t="s">
        <v>10</v>
      </c>
      <c r="AN58" s="101"/>
      <c r="AO58" s="20" t="s">
        <v>177</v>
      </c>
      <c r="AP58" s="84" t="s">
        <v>38</v>
      </c>
      <c r="AQ58" s="85" t="s">
        <v>10</v>
      </c>
      <c r="AR58" s="101"/>
      <c r="AS58" s="20" t="s">
        <v>177</v>
      </c>
      <c r="AT58" s="84" t="s">
        <v>38</v>
      </c>
      <c r="AU58" s="85" t="s">
        <v>10</v>
      </c>
      <c r="AV58" s="101"/>
      <c r="AW58" s="20" t="s">
        <v>177</v>
      </c>
      <c r="AX58" s="84" t="s">
        <v>38</v>
      </c>
      <c r="AY58" s="85" t="s">
        <v>10</v>
      </c>
      <c r="AZ58" s="101"/>
      <c r="BA58" s="20" t="s">
        <v>177</v>
      </c>
      <c r="BB58" s="84" t="s">
        <v>38</v>
      </c>
      <c r="BC58" s="85" t="s">
        <v>10</v>
      </c>
      <c r="BD58" s="101"/>
    </row>
    <row r="59" spans="1:56" ht="18.75" customHeight="1">
      <c r="A59" s="143" t="s">
        <v>178</v>
      </c>
      <c r="B59" s="84" t="s">
        <v>351</v>
      </c>
      <c r="C59" s="85" t="s">
        <v>10</v>
      </c>
      <c r="D59" s="229">
        <f t="shared" si="1"/>
        <v>94</v>
      </c>
      <c r="E59" s="143" t="s">
        <v>178</v>
      </c>
      <c r="F59" s="84" t="s">
        <v>351</v>
      </c>
      <c r="G59" s="85" t="s">
        <v>10</v>
      </c>
      <c r="H59" s="101">
        <v>8</v>
      </c>
      <c r="I59" s="143" t="s">
        <v>178</v>
      </c>
      <c r="J59" s="84" t="s">
        <v>351</v>
      </c>
      <c r="K59" s="85" t="s">
        <v>10</v>
      </c>
      <c r="L59" s="101">
        <v>14</v>
      </c>
      <c r="M59" s="143" t="s">
        <v>178</v>
      </c>
      <c r="N59" s="84" t="s">
        <v>351</v>
      </c>
      <c r="O59" s="85" t="s">
        <v>10</v>
      </c>
      <c r="P59" s="349">
        <v>14</v>
      </c>
      <c r="Q59" s="143" t="s">
        <v>178</v>
      </c>
      <c r="R59" s="84" t="s">
        <v>351</v>
      </c>
      <c r="S59" s="85" t="s">
        <v>10</v>
      </c>
      <c r="T59" s="101">
        <v>14</v>
      </c>
      <c r="U59" s="143" t="s">
        <v>178</v>
      </c>
      <c r="V59" s="84" t="s">
        <v>351</v>
      </c>
      <c r="W59" s="85" t="s">
        <v>10</v>
      </c>
      <c r="X59" s="101">
        <v>16</v>
      </c>
      <c r="Y59" s="143" t="s">
        <v>178</v>
      </c>
      <c r="Z59" s="84" t="s">
        <v>351</v>
      </c>
      <c r="AA59" s="85" t="s">
        <v>10</v>
      </c>
      <c r="AB59" s="101"/>
      <c r="AC59" s="143" t="s">
        <v>178</v>
      </c>
      <c r="AD59" s="84" t="s">
        <v>351</v>
      </c>
      <c r="AE59" s="85" t="s">
        <v>10</v>
      </c>
      <c r="AF59" s="101"/>
      <c r="AG59" s="143" t="s">
        <v>178</v>
      </c>
      <c r="AH59" s="84" t="s">
        <v>351</v>
      </c>
      <c r="AI59" s="85" t="s">
        <v>10</v>
      </c>
      <c r="AJ59" s="101"/>
      <c r="AK59" s="143" t="s">
        <v>178</v>
      </c>
      <c r="AL59" s="84" t="s">
        <v>351</v>
      </c>
      <c r="AM59" s="85" t="s">
        <v>10</v>
      </c>
      <c r="AN59" s="101"/>
      <c r="AO59" s="143" t="s">
        <v>178</v>
      </c>
      <c r="AP59" s="84" t="s">
        <v>351</v>
      </c>
      <c r="AQ59" s="85" t="s">
        <v>10</v>
      </c>
      <c r="AR59" s="101"/>
      <c r="AS59" s="143" t="s">
        <v>178</v>
      </c>
      <c r="AT59" s="84" t="s">
        <v>351</v>
      </c>
      <c r="AU59" s="85" t="s">
        <v>10</v>
      </c>
      <c r="AV59" s="101">
        <v>7</v>
      </c>
      <c r="AW59" s="143" t="s">
        <v>178</v>
      </c>
      <c r="AX59" s="84" t="s">
        <v>351</v>
      </c>
      <c r="AY59" s="85" t="s">
        <v>10</v>
      </c>
      <c r="AZ59" s="101">
        <v>14</v>
      </c>
      <c r="BA59" s="143" t="s">
        <v>178</v>
      </c>
      <c r="BB59" s="84" t="s">
        <v>351</v>
      </c>
      <c r="BC59" s="85" t="s">
        <v>10</v>
      </c>
      <c r="BD59" s="101">
        <v>7</v>
      </c>
    </row>
    <row r="60" spans="1:56" ht="18.75">
      <c r="A60" s="20" t="s">
        <v>142</v>
      </c>
      <c r="B60" s="84" t="s">
        <v>40</v>
      </c>
      <c r="C60" s="85" t="s">
        <v>20</v>
      </c>
      <c r="D60" s="229">
        <f t="shared" si="1"/>
        <v>14</v>
      </c>
      <c r="E60" s="20" t="s">
        <v>142</v>
      </c>
      <c r="F60" s="84" t="s">
        <v>40</v>
      </c>
      <c r="G60" s="85" t="s">
        <v>20</v>
      </c>
      <c r="H60" s="101">
        <v>1</v>
      </c>
      <c r="I60" s="20" t="s">
        <v>142</v>
      </c>
      <c r="J60" s="84" t="s">
        <v>40</v>
      </c>
      <c r="K60" s="85" t="s">
        <v>20</v>
      </c>
      <c r="L60" s="101">
        <v>2</v>
      </c>
      <c r="M60" s="20" t="s">
        <v>142</v>
      </c>
      <c r="N60" s="84" t="s">
        <v>40</v>
      </c>
      <c r="O60" s="85" t="s">
        <v>20</v>
      </c>
      <c r="P60" s="101">
        <v>2</v>
      </c>
      <c r="Q60" s="20" t="s">
        <v>142</v>
      </c>
      <c r="R60" s="84" t="s">
        <v>40</v>
      </c>
      <c r="S60" s="85" t="s">
        <v>20</v>
      </c>
      <c r="T60" s="101">
        <v>2</v>
      </c>
      <c r="U60" s="20" t="s">
        <v>142</v>
      </c>
      <c r="V60" s="84" t="s">
        <v>40</v>
      </c>
      <c r="W60" s="85" t="s">
        <v>20</v>
      </c>
      <c r="X60" s="101">
        <v>2</v>
      </c>
      <c r="Y60" s="20" t="s">
        <v>142</v>
      </c>
      <c r="Z60" s="84" t="s">
        <v>40</v>
      </c>
      <c r="AA60" s="85" t="s">
        <v>20</v>
      </c>
      <c r="AB60" s="101"/>
      <c r="AC60" s="20" t="s">
        <v>142</v>
      </c>
      <c r="AD60" s="84" t="s">
        <v>40</v>
      </c>
      <c r="AE60" s="85" t="s">
        <v>20</v>
      </c>
      <c r="AF60" s="101"/>
      <c r="AG60" s="20" t="s">
        <v>142</v>
      </c>
      <c r="AH60" s="84" t="s">
        <v>40</v>
      </c>
      <c r="AI60" s="85" t="s">
        <v>20</v>
      </c>
      <c r="AJ60" s="101"/>
      <c r="AK60" s="20" t="s">
        <v>142</v>
      </c>
      <c r="AL60" s="84" t="s">
        <v>40</v>
      </c>
      <c r="AM60" s="85" t="s">
        <v>20</v>
      </c>
      <c r="AN60" s="101"/>
      <c r="AO60" s="20" t="s">
        <v>142</v>
      </c>
      <c r="AP60" s="84" t="s">
        <v>40</v>
      </c>
      <c r="AQ60" s="85" t="s">
        <v>20</v>
      </c>
      <c r="AR60" s="101">
        <v>2</v>
      </c>
      <c r="AS60" s="20" t="s">
        <v>142</v>
      </c>
      <c r="AT60" s="84" t="s">
        <v>40</v>
      </c>
      <c r="AU60" s="85" t="s">
        <v>20</v>
      </c>
      <c r="AV60" s="101">
        <v>1</v>
      </c>
      <c r="AW60" s="20" t="s">
        <v>142</v>
      </c>
      <c r="AX60" s="84" t="s">
        <v>40</v>
      </c>
      <c r="AY60" s="85" t="s">
        <v>20</v>
      </c>
      <c r="AZ60" s="101">
        <v>1</v>
      </c>
      <c r="BA60" s="20" t="s">
        <v>142</v>
      </c>
      <c r="BB60" s="84" t="s">
        <v>40</v>
      </c>
      <c r="BC60" s="85" t="s">
        <v>20</v>
      </c>
      <c r="BD60" s="101">
        <v>1</v>
      </c>
    </row>
    <row r="61" spans="1:57" ht="18.75" hidden="1">
      <c r="A61" s="20" t="s">
        <v>143</v>
      </c>
      <c r="B61" s="84" t="s">
        <v>71</v>
      </c>
      <c r="C61" s="85" t="s">
        <v>20</v>
      </c>
      <c r="D61" s="229">
        <f>(H61+L61+P61+T61+X61+AB61+AF61+AJ61+AN61+AR61+AV61+AZ61+BD61)</f>
        <v>0</v>
      </c>
      <c r="E61" s="20" t="s">
        <v>143</v>
      </c>
      <c r="F61" s="84" t="s">
        <v>71</v>
      </c>
      <c r="G61" s="85" t="s">
        <v>20</v>
      </c>
      <c r="H61" s="101"/>
      <c r="I61" s="20" t="s">
        <v>143</v>
      </c>
      <c r="J61" s="84" t="s">
        <v>71</v>
      </c>
      <c r="K61" s="85" t="s">
        <v>20</v>
      </c>
      <c r="L61" s="101"/>
      <c r="M61" s="20" t="s">
        <v>143</v>
      </c>
      <c r="N61" s="84" t="s">
        <v>71</v>
      </c>
      <c r="O61" s="85" t="s">
        <v>20</v>
      </c>
      <c r="P61" s="101"/>
      <c r="Q61" s="20" t="s">
        <v>143</v>
      </c>
      <c r="R61" s="84" t="s">
        <v>71</v>
      </c>
      <c r="S61" s="85" t="s">
        <v>20</v>
      </c>
      <c r="T61" s="101"/>
      <c r="U61" s="20" t="s">
        <v>143</v>
      </c>
      <c r="V61" s="84" t="s">
        <v>71</v>
      </c>
      <c r="W61" s="85" t="s">
        <v>20</v>
      </c>
      <c r="X61" s="101"/>
      <c r="Y61" s="20" t="s">
        <v>143</v>
      </c>
      <c r="Z61" s="84" t="s">
        <v>71</v>
      </c>
      <c r="AA61" s="85" t="s">
        <v>20</v>
      </c>
      <c r="AB61" s="99"/>
      <c r="AC61" s="20" t="s">
        <v>143</v>
      </c>
      <c r="AD61" s="84" t="s">
        <v>71</v>
      </c>
      <c r="AE61" s="85" t="s">
        <v>20</v>
      </c>
      <c r="AF61" s="101"/>
      <c r="AG61" s="20" t="s">
        <v>143</v>
      </c>
      <c r="AH61" s="84" t="s">
        <v>71</v>
      </c>
      <c r="AI61" s="85" t="s">
        <v>20</v>
      </c>
      <c r="AJ61" s="99"/>
      <c r="AK61" s="20" t="s">
        <v>143</v>
      </c>
      <c r="AL61" s="84" t="s">
        <v>71</v>
      </c>
      <c r="AM61" s="85" t="s">
        <v>20</v>
      </c>
      <c r="AN61" s="101"/>
      <c r="AO61" s="20" t="s">
        <v>143</v>
      </c>
      <c r="AP61" s="84" t="s">
        <v>71</v>
      </c>
      <c r="AQ61" s="85" t="s">
        <v>20</v>
      </c>
      <c r="AR61" s="101"/>
      <c r="AS61" s="20" t="s">
        <v>143</v>
      </c>
      <c r="AT61" s="84" t="s">
        <v>71</v>
      </c>
      <c r="AU61" s="85" t="s">
        <v>20</v>
      </c>
      <c r="AV61" s="99"/>
      <c r="AW61" s="20" t="s">
        <v>143</v>
      </c>
      <c r="AX61" s="84" t="s">
        <v>71</v>
      </c>
      <c r="AY61" s="85" t="s">
        <v>20</v>
      </c>
      <c r="AZ61" s="101"/>
      <c r="BA61" s="20" t="s">
        <v>143</v>
      </c>
      <c r="BB61" s="84" t="s">
        <v>71</v>
      </c>
      <c r="BC61" s="85" t="s">
        <v>20</v>
      </c>
      <c r="BD61" s="101"/>
      <c r="BE61" s="27"/>
    </row>
    <row r="62" spans="1:56" s="69" customFormat="1" ht="18.75">
      <c r="A62" s="20" t="s">
        <v>144</v>
      </c>
      <c r="B62" s="110" t="s">
        <v>381</v>
      </c>
      <c r="C62" s="111" t="s">
        <v>23</v>
      </c>
      <c r="D62" s="239">
        <f>H62+L62+P62+T62+X62+AB62+AF62+AJ62+AN62+AR62+AV62+AZ62+BD62</f>
        <v>8</v>
      </c>
      <c r="E62" s="20" t="s">
        <v>144</v>
      </c>
      <c r="F62" s="110" t="s">
        <v>381</v>
      </c>
      <c r="G62" s="111" t="s">
        <v>23</v>
      </c>
      <c r="H62" s="112"/>
      <c r="I62" s="20" t="s">
        <v>144</v>
      </c>
      <c r="J62" s="110" t="s">
        <v>381</v>
      </c>
      <c r="K62" s="111" t="s">
        <v>23</v>
      </c>
      <c r="L62" s="112">
        <v>1</v>
      </c>
      <c r="M62" s="20" t="s">
        <v>144</v>
      </c>
      <c r="N62" s="110" t="s">
        <v>381</v>
      </c>
      <c r="O62" s="111" t="s">
        <v>23</v>
      </c>
      <c r="P62" s="112">
        <v>2</v>
      </c>
      <c r="Q62" s="20" t="s">
        <v>144</v>
      </c>
      <c r="R62" s="110" t="s">
        <v>381</v>
      </c>
      <c r="S62" s="111" t="s">
        <v>23</v>
      </c>
      <c r="T62" s="112">
        <v>1</v>
      </c>
      <c r="U62" s="20" t="s">
        <v>144</v>
      </c>
      <c r="V62" s="110" t="s">
        <v>381</v>
      </c>
      <c r="W62" s="111" t="s">
        <v>23</v>
      </c>
      <c r="X62" s="112">
        <v>1</v>
      </c>
      <c r="Y62" s="20" t="s">
        <v>144</v>
      </c>
      <c r="Z62" s="110" t="s">
        <v>381</v>
      </c>
      <c r="AA62" s="111" t="s">
        <v>23</v>
      </c>
      <c r="AB62" s="139"/>
      <c r="AC62" s="20" t="s">
        <v>144</v>
      </c>
      <c r="AD62" s="110" t="s">
        <v>381</v>
      </c>
      <c r="AE62" s="111" t="s">
        <v>23</v>
      </c>
      <c r="AF62" s="112"/>
      <c r="AG62" s="20" t="s">
        <v>144</v>
      </c>
      <c r="AH62" s="110" t="s">
        <v>381</v>
      </c>
      <c r="AI62" s="111" t="s">
        <v>23</v>
      </c>
      <c r="AJ62" s="139"/>
      <c r="AK62" s="20" t="s">
        <v>144</v>
      </c>
      <c r="AL62" s="110" t="s">
        <v>381</v>
      </c>
      <c r="AM62" s="111" t="s">
        <v>23</v>
      </c>
      <c r="AN62" s="139"/>
      <c r="AO62" s="20" t="s">
        <v>144</v>
      </c>
      <c r="AP62" s="110" t="s">
        <v>381</v>
      </c>
      <c r="AQ62" s="111" t="s">
        <v>23</v>
      </c>
      <c r="AR62" s="112">
        <v>1</v>
      </c>
      <c r="AS62" s="20" t="s">
        <v>144</v>
      </c>
      <c r="AT62" s="110" t="s">
        <v>381</v>
      </c>
      <c r="AU62" s="111" t="s">
        <v>23</v>
      </c>
      <c r="AV62" s="139"/>
      <c r="AW62" s="20" t="s">
        <v>144</v>
      </c>
      <c r="AX62" s="110" t="s">
        <v>381</v>
      </c>
      <c r="AY62" s="111" t="s">
        <v>23</v>
      </c>
      <c r="AZ62" s="112">
        <v>2</v>
      </c>
      <c r="BA62" s="20" t="s">
        <v>144</v>
      </c>
      <c r="BB62" s="110" t="s">
        <v>381</v>
      </c>
      <c r="BC62" s="111" t="s">
        <v>23</v>
      </c>
      <c r="BD62" s="139"/>
    </row>
    <row r="63" spans="1:56" ht="18.75">
      <c r="A63" s="39"/>
      <c r="B63" s="103" t="s">
        <v>216</v>
      </c>
      <c r="C63" s="104"/>
      <c r="D63" s="236"/>
      <c r="E63" s="39"/>
      <c r="F63" s="103" t="s">
        <v>216</v>
      </c>
      <c r="G63" s="104"/>
      <c r="H63" s="107"/>
      <c r="I63" s="39"/>
      <c r="J63" s="103" t="s">
        <v>216</v>
      </c>
      <c r="K63" s="104"/>
      <c r="L63" s="105"/>
      <c r="M63" s="39"/>
      <c r="N63" s="103" t="s">
        <v>216</v>
      </c>
      <c r="O63" s="104"/>
      <c r="P63" s="105"/>
      <c r="Q63" s="39"/>
      <c r="R63" s="103" t="s">
        <v>216</v>
      </c>
      <c r="S63" s="104"/>
      <c r="T63" s="105"/>
      <c r="U63" s="39"/>
      <c r="V63" s="103" t="s">
        <v>216</v>
      </c>
      <c r="W63" s="104"/>
      <c r="X63" s="105"/>
      <c r="Y63" s="39"/>
      <c r="Z63" s="103" t="s">
        <v>216</v>
      </c>
      <c r="AA63" s="104"/>
      <c r="AB63" s="105"/>
      <c r="AC63" s="39"/>
      <c r="AD63" s="103" t="s">
        <v>216</v>
      </c>
      <c r="AE63" s="104"/>
      <c r="AF63" s="105"/>
      <c r="AG63" s="39"/>
      <c r="AH63" s="103" t="s">
        <v>216</v>
      </c>
      <c r="AI63" s="104"/>
      <c r="AJ63" s="105"/>
      <c r="AK63" s="39"/>
      <c r="AL63" s="103" t="s">
        <v>216</v>
      </c>
      <c r="AM63" s="104"/>
      <c r="AN63" s="105"/>
      <c r="AO63" s="39"/>
      <c r="AP63" s="103" t="s">
        <v>216</v>
      </c>
      <c r="AQ63" s="104"/>
      <c r="AR63" s="105"/>
      <c r="AS63" s="39"/>
      <c r="AT63" s="103" t="s">
        <v>216</v>
      </c>
      <c r="AU63" s="104"/>
      <c r="AV63" s="105"/>
      <c r="AW63" s="39"/>
      <c r="AX63" s="103" t="s">
        <v>216</v>
      </c>
      <c r="AY63" s="104"/>
      <c r="AZ63" s="105"/>
      <c r="BA63" s="39"/>
      <c r="BB63" s="103" t="s">
        <v>216</v>
      </c>
      <c r="BC63" s="104"/>
      <c r="BD63" s="105"/>
    </row>
    <row r="64" spans="1:56" s="401" customFormat="1" ht="18.75">
      <c r="A64" s="448"/>
      <c r="B64" s="372" t="s">
        <v>47</v>
      </c>
      <c r="C64" s="398"/>
      <c r="D64" s="231"/>
      <c r="E64" s="448"/>
      <c r="F64" s="372" t="s">
        <v>47</v>
      </c>
      <c r="G64" s="398"/>
      <c r="H64" s="402"/>
      <c r="I64" s="448"/>
      <c r="J64" s="372" t="s">
        <v>47</v>
      </c>
      <c r="K64" s="398"/>
      <c r="L64" s="231"/>
      <c r="M64" s="448"/>
      <c r="N64" s="372" t="s">
        <v>47</v>
      </c>
      <c r="O64" s="398"/>
      <c r="P64" s="231"/>
      <c r="Q64" s="448"/>
      <c r="R64" s="372" t="s">
        <v>47</v>
      </c>
      <c r="S64" s="398"/>
      <c r="T64" s="231"/>
      <c r="U64" s="448"/>
      <c r="V64" s="372" t="s">
        <v>47</v>
      </c>
      <c r="W64" s="398"/>
      <c r="X64" s="231"/>
      <c r="Y64" s="448"/>
      <c r="Z64" s="372" t="s">
        <v>47</v>
      </c>
      <c r="AA64" s="398"/>
      <c r="AB64" s="231"/>
      <c r="AC64" s="448"/>
      <c r="AD64" s="372" t="s">
        <v>47</v>
      </c>
      <c r="AE64" s="398"/>
      <c r="AF64" s="231"/>
      <c r="AG64" s="448"/>
      <c r="AH64" s="372" t="s">
        <v>47</v>
      </c>
      <c r="AI64" s="398"/>
      <c r="AJ64" s="231"/>
      <c r="AK64" s="448"/>
      <c r="AL64" s="372" t="s">
        <v>47</v>
      </c>
      <c r="AM64" s="398"/>
      <c r="AN64" s="231"/>
      <c r="AO64" s="448"/>
      <c r="AP64" s="372" t="s">
        <v>47</v>
      </c>
      <c r="AQ64" s="398"/>
      <c r="AR64" s="231"/>
      <c r="AS64" s="448"/>
      <c r="AT64" s="372" t="s">
        <v>47</v>
      </c>
      <c r="AU64" s="398"/>
      <c r="AV64" s="231"/>
      <c r="AW64" s="448"/>
      <c r="AX64" s="372" t="s">
        <v>47</v>
      </c>
      <c r="AY64" s="398"/>
      <c r="AZ64" s="231"/>
      <c r="BA64" s="448"/>
      <c r="BB64" s="372" t="s">
        <v>47</v>
      </c>
      <c r="BC64" s="398"/>
      <c r="BD64" s="231"/>
    </row>
    <row r="65" spans="1:56" s="650" customFormat="1" ht="25.5" customHeight="1">
      <c r="A65" s="425" t="s">
        <v>157</v>
      </c>
      <c r="B65" s="648" t="s">
        <v>385</v>
      </c>
      <c r="C65" s="649" t="s">
        <v>23</v>
      </c>
      <c r="D65" s="652">
        <f>H65+L65+P65+T65+X65+AB65+AF65+AJ65+AN65+AR65+AV65+AZ65+BD65</f>
        <v>18</v>
      </c>
      <c r="E65" s="425" t="s">
        <v>157</v>
      </c>
      <c r="F65" s="600" t="s">
        <v>415</v>
      </c>
      <c r="G65" s="649" t="s">
        <v>23</v>
      </c>
      <c r="H65" s="653"/>
      <c r="I65" s="425" t="s">
        <v>157</v>
      </c>
      <c r="J65" s="648" t="s">
        <v>382</v>
      </c>
      <c r="K65" s="649" t="s">
        <v>23</v>
      </c>
      <c r="L65" s="653">
        <f>L66</f>
        <v>2</v>
      </c>
      <c r="M65" s="425" t="s">
        <v>157</v>
      </c>
      <c r="N65" s="648" t="s">
        <v>382</v>
      </c>
      <c r="O65" s="649" t="s">
        <v>23</v>
      </c>
      <c r="P65" s="653">
        <f>P66</f>
        <v>3</v>
      </c>
      <c r="Q65" s="425" t="s">
        <v>157</v>
      </c>
      <c r="R65" s="648" t="s">
        <v>382</v>
      </c>
      <c r="S65" s="649" t="s">
        <v>23</v>
      </c>
      <c r="T65" s="653">
        <f>T66</f>
        <v>3</v>
      </c>
      <c r="U65" s="425" t="s">
        <v>157</v>
      </c>
      <c r="V65" s="648" t="s">
        <v>382</v>
      </c>
      <c r="W65" s="649" t="s">
        <v>23</v>
      </c>
      <c r="X65" s="651"/>
      <c r="Y65" s="425" t="s">
        <v>157</v>
      </c>
      <c r="Z65" s="648" t="s">
        <v>382</v>
      </c>
      <c r="AA65" s="649" t="s">
        <v>23</v>
      </c>
      <c r="AB65" s="653">
        <f>AB66</f>
        <v>2</v>
      </c>
      <c r="AC65" s="425" t="s">
        <v>157</v>
      </c>
      <c r="AD65" s="648" t="s">
        <v>382</v>
      </c>
      <c r="AE65" s="649" t="s">
        <v>23</v>
      </c>
      <c r="AF65" s="653">
        <f>AF66</f>
        <v>1</v>
      </c>
      <c r="AG65" s="425" t="s">
        <v>157</v>
      </c>
      <c r="AH65" s="648" t="s">
        <v>382</v>
      </c>
      <c r="AI65" s="649" t="s">
        <v>23</v>
      </c>
      <c r="AJ65" s="653">
        <f>AJ66</f>
        <v>1</v>
      </c>
      <c r="AK65" s="425" t="s">
        <v>157</v>
      </c>
      <c r="AL65" s="648" t="s">
        <v>382</v>
      </c>
      <c r="AM65" s="649" t="s">
        <v>23</v>
      </c>
      <c r="AN65" s="653">
        <f>AN66</f>
        <v>1</v>
      </c>
      <c r="AO65" s="425" t="s">
        <v>157</v>
      </c>
      <c r="AP65" s="648" t="s">
        <v>382</v>
      </c>
      <c r="AQ65" s="649" t="s">
        <v>23</v>
      </c>
      <c r="AR65" s="653">
        <f>AR66</f>
        <v>2</v>
      </c>
      <c r="AS65" s="425" t="s">
        <v>157</v>
      </c>
      <c r="AT65" s="648" t="s">
        <v>382</v>
      </c>
      <c r="AU65" s="649" t="s">
        <v>23</v>
      </c>
      <c r="AV65" s="653">
        <f>AV66</f>
        <v>1</v>
      </c>
      <c r="AW65" s="425" t="s">
        <v>157</v>
      </c>
      <c r="AX65" s="648" t="s">
        <v>382</v>
      </c>
      <c r="AY65" s="649" t="s">
        <v>23</v>
      </c>
      <c r="AZ65" s="653">
        <f>AZ66</f>
        <v>1</v>
      </c>
      <c r="BA65" s="425" t="s">
        <v>157</v>
      </c>
      <c r="BB65" s="648" t="s">
        <v>382</v>
      </c>
      <c r="BC65" s="649" t="s">
        <v>23</v>
      </c>
      <c r="BD65" s="653">
        <f>BD66</f>
        <v>1</v>
      </c>
    </row>
    <row r="66" spans="1:56" s="361" customFormat="1" ht="18.75">
      <c r="A66" s="20" t="s">
        <v>179</v>
      </c>
      <c r="B66" s="368" t="s">
        <v>363</v>
      </c>
      <c r="C66" s="363" t="s">
        <v>215</v>
      </c>
      <c r="D66" s="239">
        <f>H66+L66+P66+T66+X66+AB66+AF66+AJ66+AN66+AR66+AV66+AZ66+BD66</f>
        <v>18</v>
      </c>
      <c r="E66" s="20" t="s">
        <v>179</v>
      </c>
      <c r="F66" s="368" t="s">
        <v>363</v>
      </c>
      <c r="G66" s="363" t="s">
        <v>215</v>
      </c>
      <c r="H66" s="112"/>
      <c r="I66" s="20" t="s">
        <v>179</v>
      </c>
      <c r="J66" s="368" t="s">
        <v>363</v>
      </c>
      <c r="K66" s="363" t="s">
        <v>215</v>
      </c>
      <c r="L66" s="112">
        <v>2</v>
      </c>
      <c r="M66" s="20" t="s">
        <v>179</v>
      </c>
      <c r="N66" s="368" t="s">
        <v>363</v>
      </c>
      <c r="O66" s="363" t="s">
        <v>215</v>
      </c>
      <c r="P66" s="112">
        <f>2+1</f>
        <v>3</v>
      </c>
      <c r="Q66" s="20" t="s">
        <v>179</v>
      </c>
      <c r="R66" s="368" t="s">
        <v>363</v>
      </c>
      <c r="S66" s="363" t="s">
        <v>215</v>
      </c>
      <c r="T66" s="112">
        <f>2+1</f>
        <v>3</v>
      </c>
      <c r="U66" s="20" t="s">
        <v>179</v>
      </c>
      <c r="V66" s="368" t="s">
        <v>363</v>
      </c>
      <c r="W66" s="363" t="s">
        <v>215</v>
      </c>
      <c r="X66" s="139"/>
      <c r="Y66" s="20" t="s">
        <v>179</v>
      </c>
      <c r="Z66" s="368" t="s">
        <v>363</v>
      </c>
      <c r="AA66" s="363" t="s">
        <v>215</v>
      </c>
      <c r="AB66" s="112">
        <v>2</v>
      </c>
      <c r="AC66" s="20" t="s">
        <v>179</v>
      </c>
      <c r="AD66" s="368" t="s">
        <v>363</v>
      </c>
      <c r="AE66" s="363" t="s">
        <v>215</v>
      </c>
      <c r="AF66" s="669">
        <v>1</v>
      </c>
      <c r="AG66" s="20" t="s">
        <v>179</v>
      </c>
      <c r="AH66" s="368" t="s">
        <v>363</v>
      </c>
      <c r="AI66" s="363" t="s">
        <v>215</v>
      </c>
      <c r="AJ66" s="112">
        <v>1</v>
      </c>
      <c r="AK66" s="20" t="s">
        <v>179</v>
      </c>
      <c r="AL66" s="368" t="s">
        <v>363</v>
      </c>
      <c r="AM66" s="363" t="s">
        <v>215</v>
      </c>
      <c r="AN66" s="112">
        <v>1</v>
      </c>
      <c r="AO66" s="20" t="s">
        <v>179</v>
      </c>
      <c r="AP66" s="368" t="s">
        <v>363</v>
      </c>
      <c r="AQ66" s="363" t="s">
        <v>215</v>
      </c>
      <c r="AR66" s="112">
        <v>2</v>
      </c>
      <c r="AS66" s="20" t="s">
        <v>179</v>
      </c>
      <c r="AT66" s="368" t="s">
        <v>363</v>
      </c>
      <c r="AU66" s="363" t="s">
        <v>215</v>
      </c>
      <c r="AV66" s="112">
        <v>1</v>
      </c>
      <c r="AW66" s="20" t="s">
        <v>179</v>
      </c>
      <c r="AX66" s="368" t="s">
        <v>363</v>
      </c>
      <c r="AY66" s="363" t="s">
        <v>215</v>
      </c>
      <c r="AZ66" s="112">
        <v>1</v>
      </c>
      <c r="BA66" s="20" t="s">
        <v>179</v>
      </c>
      <c r="BB66" s="368" t="s">
        <v>363</v>
      </c>
      <c r="BC66" s="363" t="s">
        <v>215</v>
      </c>
      <c r="BD66" s="112">
        <v>1</v>
      </c>
    </row>
    <row r="67" spans="1:56" s="361" customFormat="1" ht="18.75">
      <c r="A67" s="20" t="s">
        <v>180</v>
      </c>
      <c r="B67" s="110" t="s">
        <v>48</v>
      </c>
      <c r="C67" s="111" t="s">
        <v>20</v>
      </c>
      <c r="D67" s="239">
        <f>(H67+L67+P67+T67+X67+AB67+AF67+AJ67+AN67+AR67+AV67+AZ67+BD67)</f>
        <v>27</v>
      </c>
      <c r="E67" s="20" t="s">
        <v>180</v>
      </c>
      <c r="F67" s="110" t="s">
        <v>48</v>
      </c>
      <c r="G67" s="111" t="s">
        <v>20</v>
      </c>
      <c r="H67" s="112"/>
      <c r="I67" s="20" t="s">
        <v>180</v>
      </c>
      <c r="J67" s="110" t="s">
        <v>48</v>
      </c>
      <c r="K67" s="111" t="s">
        <v>20</v>
      </c>
      <c r="L67" s="112">
        <f>4-2</f>
        <v>2</v>
      </c>
      <c r="M67" s="20" t="s">
        <v>180</v>
      </c>
      <c r="N67" s="110" t="s">
        <v>48</v>
      </c>
      <c r="O67" s="111" t="s">
        <v>20</v>
      </c>
      <c r="P67" s="112">
        <f>2+2</f>
        <v>4</v>
      </c>
      <c r="Q67" s="20" t="s">
        <v>180</v>
      </c>
      <c r="R67" s="110" t="s">
        <v>48</v>
      </c>
      <c r="S67" s="111" t="s">
        <v>20</v>
      </c>
      <c r="T67" s="112">
        <v>6</v>
      </c>
      <c r="U67" s="20" t="s">
        <v>180</v>
      </c>
      <c r="V67" s="110" t="s">
        <v>48</v>
      </c>
      <c r="W67" s="111" t="s">
        <v>20</v>
      </c>
      <c r="X67" s="112"/>
      <c r="Y67" s="20" t="s">
        <v>180</v>
      </c>
      <c r="Z67" s="110" t="s">
        <v>48</v>
      </c>
      <c r="AA67" s="111" t="s">
        <v>20</v>
      </c>
      <c r="AB67" s="112"/>
      <c r="AC67" s="20" t="s">
        <v>180</v>
      </c>
      <c r="AD67" s="110" t="s">
        <v>48</v>
      </c>
      <c r="AE67" s="111" t="s">
        <v>20</v>
      </c>
      <c r="AF67" s="669">
        <v>2</v>
      </c>
      <c r="AG67" s="20" t="s">
        <v>180</v>
      </c>
      <c r="AH67" s="110" t="s">
        <v>48</v>
      </c>
      <c r="AI67" s="111" t="s">
        <v>20</v>
      </c>
      <c r="AJ67" s="669"/>
      <c r="AK67" s="20" t="s">
        <v>180</v>
      </c>
      <c r="AL67" s="110" t="s">
        <v>48</v>
      </c>
      <c r="AM67" s="111" t="s">
        <v>20</v>
      </c>
      <c r="AN67" s="112">
        <v>4</v>
      </c>
      <c r="AO67" s="20" t="s">
        <v>180</v>
      </c>
      <c r="AP67" s="110" t="s">
        <v>48</v>
      </c>
      <c r="AQ67" s="111" t="s">
        <v>20</v>
      </c>
      <c r="AR67" s="112">
        <v>3</v>
      </c>
      <c r="AS67" s="20" t="s">
        <v>180</v>
      </c>
      <c r="AT67" s="110" t="s">
        <v>48</v>
      </c>
      <c r="AU67" s="111" t="s">
        <v>20</v>
      </c>
      <c r="AV67" s="112">
        <v>3</v>
      </c>
      <c r="AW67" s="20" t="s">
        <v>180</v>
      </c>
      <c r="AX67" s="110" t="s">
        <v>48</v>
      </c>
      <c r="AY67" s="111" t="s">
        <v>20</v>
      </c>
      <c r="AZ67" s="112">
        <v>2</v>
      </c>
      <c r="BA67" s="20" t="s">
        <v>180</v>
      </c>
      <c r="BB67" s="110" t="s">
        <v>48</v>
      </c>
      <c r="BC67" s="111" t="s">
        <v>20</v>
      </c>
      <c r="BD67" s="112">
        <v>1</v>
      </c>
    </row>
    <row r="68" spans="1:56" s="361" customFormat="1" ht="18.75">
      <c r="A68" s="20" t="s">
        <v>181</v>
      </c>
      <c r="B68" s="110" t="s">
        <v>352</v>
      </c>
      <c r="C68" s="111" t="s">
        <v>20</v>
      </c>
      <c r="D68" s="239">
        <f>(H68+L68+P68+T68+X68+AB68+AF68+AJ68+AN68+AR68+AV68+AZ68+BD68)</f>
        <v>3</v>
      </c>
      <c r="E68" s="20" t="s">
        <v>181</v>
      </c>
      <c r="F68" s="110" t="s">
        <v>352</v>
      </c>
      <c r="G68" s="111" t="s">
        <v>20</v>
      </c>
      <c r="H68" s="112"/>
      <c r="I68" s="20" t="s">
        <v>181</v>
      </c>
      <c r="J68" s="110" t="s">
        <v>352</v>
      </c>
      <c r="K68" s="111" t="s">
        <v>20</v>
      </c>
      <c r="L68" s="112"/>
      <c r="M68" s="20" t="s">
        <v>181</v>
      </c>
      <c r="N68" s="110" t="s">
        <v>352</v>
      </c>
      <c r="O68" s="111" t="s">
        <v>20</v>
      </c>
      <c r="P68" s="112">
        <v>1</v>
      </c>
      <c r="Q68" s="20" t="s">
        <v>181</v>
      </c>
      <c r="R68" s="110" t="s">
        <v>352</v>
      </c>
      <c r="S68" s="111" t="s">
        <v>20</v>
      </c>
      <c r="T68" s="112">
        <v>1</v>
      </c>
      <c r="U68" s="20" t="s">
        <v>181</v>
      </c>
      <c r="V68" s="110" t="s">
        <v>352</v>
      </c>
      <c r="W68" s="111" t="s">
        <v>20</v>
      </c>
      <c r="X68" s="112"/>
      <c r="Y68" s="20" t="s">
        <v>181</v>
      </c>
      <c r="Z68" s="110" t="s">
        <v>352</v>
      </c>
      <c r="AA68" s="111" t="s">
        <v>20</v>
      </c>
      <c r="AB68" s="112"/>
      <c r="AC68" s="20" t="s">
        <v>181</v>
      </c>
      <c r="AD68" s="110" t="s">
        <v>352</v>
      </c>
      <c r="AE68" s="111" t="s">
        <v>20</v>
      </c>
      <c r="AF68" s="669"/>
      <c r="AG68" s="20" t="s">
        <v>181</v>
      </c>
      <c r="AH68" s="110" t="s">
        <v>352</v>
      </c>
      <c r="AI68" s="111" t="s">
        <v>20</v>
      </c>
      <c r="AJ68" s="669"/>
      <c r="AK68" s="20" t="s">
        <v>181</v>
      </c>
      <c r="AL68" s="110" t="s">
        <v>352</v>
      </c>
      <c r="AM68" s="111" t="s">
        <v>20</v>
      </c>
      <c r="AN68" s="112">
        <v>1</v>
      </c>
      <c r="AO68" s="20" t="s">
        <v>181</v>
      </c>
      <c r="AP68" s="110" t="s">
        <v>352</v>
      </c>
      <c r="AQ68" s="111" t="s">
        <v>20</v>
      </c>
      <c r="AR68" s="112"/>
      <c r="AS68" s="20" t="s">
        <v>181</v>
      </c>
      <c r="AT68" s="110" t="s">
        <v>352</v>
      </c>
      <c r="AU68" s="111" t="s">
        <v>20</v>
      </c>
      <c r="AV68" s="112"/>
      <c r="AW68" s="20" t="s">
        <v>181</v>
      </c>
      <c r="AX68" s="110" t="s">
        <v>352</v>
      </c>
      <c r="AY68" s="111" t="s">
        <v>20</v>
      </c>
      <c r="AZ68" s="112"/>
      <c r="BA68" s="20" t="s">
        <v>181</v>
      </c>
      <c r="BB68" s="110" t="s">
        <v>352</v>
      </c>
      <c r="BC68" s="111" t="s">
        <v>20</v>
      </c>
      <c r="BD68" s="112"/>
    </row>
    <row r="69" spans="1:56" s="361" customFormat="1" ht="18.75">
      <c r="A69" s="20" t="s">
        <v>182</v>
      </c>
      <c r="B69" s="110" t="s">
        <v>49</v>
      </c>
      <c r="C69" s="111" t="s">
        <v>10</v>
      </c>
      <c r="D69" s="239">
        <f>(H69+L69+P69+T69+X69+AB69+AF69+AJ69+AN69+AR69+AV69+AZ69+BD69)</f>
        <v>349</v>
      </c>
      <c r="E69" s="20" t="s">
        <v>182</v>
      </c>
      <c r="F69" s="110" t="s">
        <v>49</v>
      </c>
      <c r="G69" s="111" t="s">
        <v>10</v>
      </c>
      <c r="H69" s="112"/>
      <c r="I69" s="20" t="s">
        <v>182</v>
      </c>
      <c r="J69" s="110" t="s">
        <v>49</v>
      </c>
      <c r="K69" s="111" t="s">
        <v>10</v>
      </c>
      <c r="L69" s="112">
        <v>40</v>
      </c>
      <c r="M69" s="20" t="s">
        <v>182</v>
      </c>
      <c r="N69" s="110" t="s">
        <v>49</v>
      </c>
      <c r="O69" s="111" t="s">
        <v>10</v>
      </c>
      <c r="P69" s="112">
        <f>15+20+15</f>
        <v>50</v>
      </c>
      <c r="Q69" s="20" t="s">
        <v>182</v>
      </c>
      <c r="R69" s="110" t="s">
        <v>49</v>
      </c>
      <c r="S69" s="111" t="s">
        <v>10</v>
      </c>
      <c r="T69" s="112">
        <f>20+20+15</f>
        <v>55</v>
      </c>
      <c r="U69" s="20" t="s">
        <v>182</v>
      </c>
      <c r="V69" s="110" t="s">
        <v>49</v>
      </c>
      <c r="W69" s="111" t="s">
        <v>10</v>
      </c>
      <c r="X69" s="139"/>
      <c r="Y69" s="20" t="s">
        <v>182</v>
      </c>
      <c r="Z69" s="110" t="s">
        <v>49</v>
      </c>
      <c r="AA69" s="111" t="s">
        <v>10</v>
      </c>
      <c r="AB69" s="112">
        <f>108-36</f>
        <v>72</v>
      </c>
      <c r="AC69" s="20" t="s">
        <v>182</v>
      </c>
      <c r="AD69" s="110" t="s">
        <v>49</v>
      </c>
      <c r="AE69" s="111" t="s">
        <v>10</v>
      </c>
      <c r="AF69" s="685"/>
      <c r="AG69" s="20" t="s">
        <v>182</v>
      </c>
      <c r="AH69" s="110" t="s">
        <v>49</v>
      </c>
      <c r="AI69" s="111" t="s">
        <v>10</v>
      </c>
      <c r="AJ69" s="112">
        <v>36</v>
      </c>
      <c r="AK69" s="20" t="s">
        <v>182</v>
      </c>
      <c r="AL69" s="110" t="s">
        <v>49</v>
      </c>
      <c r="AM69" s="111" t="s">
        <v>10</v>
      </c>
      <c r="AN69" s="112">
        <v>36</v>
      </c>
      <c r="AO69" s="20" t="s">
        <v>182</v>
      </c>
      <c r="AP69" s="110" t="s">
        <v>49</v>
      </c>
      <c r="AQ69" s="111" t="s">
        <v>10</v>
      </c>
      <c r="AR69" s="112">
        <v>15</v>
      </c>
      <c r="AS69" s="20" t="s">
        <v>182</v>
      </c>
      <c r="AT69" s="110" t="s">
        <v>49</v>
      </c>
      <c r="AU69" s="111" t="s">
        <v>10</v>
      </c>
      <c r="AV69" s="112">
        <v>15</v>
      </c>
      <c r="AW69" s="20" t="s">
        <v>182</v>
      </c>
      <c r="AX69" s="110" t="s">
        <v>49</v>
      </c>
      <c r="AY69" s="111" t="s">
        <v>10</v>
      </c>
      <c r="AZ69" s="112">
        <v>15</v>
      </c>
      <c r="BA69" s="20" t="s">
        <v>182</v>
      </c>
      <c r="BB69" s="110" t="s">
        <v>49</v>
      </c>
      <c r="BC69" s="111" t="s">
        <v>10</v>
      </c>
      <c r="BD69" s="112">
        <v>15</v>
      </c>
    </row>
    <row r="70" spans="1:56" s="69" customFormat="1" ht="18.75" customHeight="1">
      <c r="A70" s="20" t="s">
        <v>183</v>
      </c>
      <c r="B70" s="110" t="s">
        <v>38</v>
      </c>
      <c r="C70" s="111" t="s">
        <v>10</v>
      </c>
      <c r="D70" s="239">
        <f aca="true" t="shared" si="2" ref="D70:D81">H70+L70+P70+T70+X70+AB70+AF70+AJ70+AN70+AR70+AV70+AZ70+BD70</f>
        <v>16</v>
      </c>
      <c r="E70" s="20" t="s">
        <v>183</v>
      </c>
      <c r="F70" s="110" t="s">
        <v>38</v>
      </c>
      <c r="G70" s="111" t="s">
        <v>10</v>
      </c>
      <c r="H70" s="319"/>
      <c r="I70" s="20" t="s">
        <v>183</v>
      </c>
      <c r="J70" s="110" t="s">
        <v>38</v>
      </c>
      <c r="K70" s="111" t="s">
        <v>10</v>
      </c>
      <c r="L70" s="112">
        <v>2</v>
      </c>
      <c r="M70" s="20" t="s">
        <v>183</v>
      </c>
      <c r="N70" s="110" t="s">
        <v>38</v>
      </c>
      <c r="O70" s="111" t="s">
        <v>10</v>
      </c>
      <c r="P70" s="669">
        <f>2+1</f>
        <v>3</v>
      </c>
      <c r="Q70" s="20" t="s">
        <v>183</v>
      </c>
      <c r="R70" s="110" t="s">
        <v>38</v>
      </c>
      <c r="S70" s="111" t="s">
        <v>10</v>
      </c>
      <c r="T70" s="112">
        <v>2</v>
      </c>
      <c r="U70" s="20" t="s">
        <v>183</v>
      </c>
      <c r="V70" s="110" t="s">
        <v>38</v>
      </c>
      <c r="W70" s="111" t="s">
        <v>10</v>
      </c>
      <c r="X70" s="112"/>
      <c r="Y70" s="20" t="s">
        <v>183</v>
      </c>
      <c r="Z70" s="110" t="s">
        <v>38</v>
      </c>
      <c r="AA70" s="111" t="s">
        <v>10</v>
      </c>
      <c r="AB70" s="112">
        <v>3</v>
      </c>
      <c r="AC70" s="20" t="s">
        <v>183</v>
      </c>
      <c r="AD70" s="110" t="s">
        <v>38</v>
      </c>
      <c r="AE70" s="111" t="s">
        <v>10</v>
      </c>
      <c r="AF70" s="112">
        <v>1</v>
      </c>
      <c r="AG70" s="20" t="s">
        <v>183</v>
      </c>
      <c r="AH70" s="110" t="s">
        <v>38</v>
      </c>
      <c r="AI70" s="111" t="s">
        <v>10</v>
      </c>
      <c r="AJ70" s="112">
        <v>1</v>
      </c>
      <c r="AK70" s="20" t="s">
        <v>183</v>
      </c>
      <c r="AL70" s="110" t="s">
        <v>38</v>
      </c>
      <c r="AM70" s="111" t="s">
        <v>10</v>
      </c>
      <c r="AN70" s="112">
        <v>1</v>
      </c>
      <c r="AO70" s="20" t="s">
        <v>183</v>
      </c>
      <c r="AP70" s="110" t="s">
        <v>38</v>
      </c>
      <c r="AQ70" s="111" t="s">
        <v>10</v>
      </c>
      <c r="AR70" s="112"/>
      <c r="AS70" s="20" t="s">
        <v>183</v>
      </c>
      <c r="AT70" s="110" t="s">
        <v>38</v>
      </c>
      <c r="AU70" s="111" t="s">
        <v>10</v>
      </c>
      <c r="AV70" s="112">
        <v>1</v>
      </c>
      <c r="AW70" s="20" t="s">
        <v>183</v>
      </c>
      <c r="AX70" s="110" t="s">
        <v>38</v>
      </c>
      <c r="AY70" s="111" t="s">
        <v>10</v>
      </c>
      <c r="AZ70" s="112">
        <v>1</v>
      </c>
      <c r="BA70" s="20" t="s">
        <v>183</v>
      </c>
      <c r="BB70" s="110" t="s">
        <v>38</v>
      </c>
      <c r="BC70" s="111" t="s">
        <v>10</v>
      </c>
      <c r="BD70" s="112">
        <v>1</v>
      </c>
    </row>
    <row r="71" spans="1:56" s="69" customFormat="1" ht="18.75" customHeight="1">
      <c r="A71" s="20" t="s">
        <v>184</v>
      </c>
      <c r="B71" s="110" t="s">
        <v>45</v>
      </c>
      <c r="C71" s="111" t="s">
        <v>20</v>
      </c>
      <c r="D71" s="239">
        <f t="shared" si="2"/>
        <v>108</v>
      </c>
      <c r="E71" s="20" t="s">
        <v>184</v>
      </c>
      <c r="F71" s="110" t="s">
        <v>45</v>
      </c>
      <c r="G71" s="111" t="s">
        <v>20</v>
      </c>
      <c r="H71" s="112"/>
      <c r="I71" s="20" t="s">
        <v>184</v>
      </c>
      <c r="J71" s="110" t="s">
        <v>45</v>
      </c>
      <c r="K71" s="111" t="s">
        <v>20</v>
      </c>
      <c r="L71" s="112">
        <v>16</v>
      </c>
      <c r="M71" s="20" t="s">
        <v>184</v>
      </c>
      <c r="N71" s="110" t="s">
        <v>45</v>
      </c>
      <c r="O71" s="111" t="s">
        <v>20</v>
      </c>
      <c r="P71" s="142"/>
      <c r="Q71" s="20" t="s">
        <v>184</v>
      </c>
      <c r="R71" s="110" t="s">
        <v>45</v>
      </c>
      <c r="S71" s="111" t="s">
        <v>20</v>
      </c>
      <c r="T71" s="139"/>
      <c r="U71" s="20" t="s">
        <v>184</v>
      </c>
      <c r="V71" s="110" t="s">
        <v>45</v>
      </c>
      <c r="W71" s="111" t="s">
        <v>20</v>
      </c>
      <c r="X71" s="112"/>
      <c r="Y71" s="20" t="s">
        <v>184</v>
      </c>
      <c r="Z71" s="110" t="s">
        <v>45</v>
      </c>
      <c r="AA71" s="111" t="s">
        <v>20</v>
      </c>
      <c r="AB71" s="112">
        <v>48</v>
      </c>
      <c r="AC71" s="20" t="s">
        <v>184</v>
      </c>
      <c r="AD71" s="110" t="s">
        <v>45</v>
      </c>
      <c r="AE71" s="111" t="s">
        <v>20</v>
      </c>
      <c r="AF71" s="112">
        <v>16</v>
      </c>
      <c r="AG71" s="20" t="s">
        <v>184</v>
      </c>
      <c r="AH71" s="110" t="s">
        <v>45</v>
      </c>
      <c r="AI71" s="111" t="s">
        <v>20</v>
      </c>
      <c r="AJ71" s="670">
        <f>16*0</f>
        <v>0</v>
      </c>
      <c r="AK71" s="20" t="s">
        <v>184</v>
      </c>
      <c r="AL71" s="110" t="s">
        <v>45</v>
      </c>
      <c r="AM71" s="111" t="s">
        <v>20</v>
      </c>
      <c r="AN71" s="112">
        <v>16</v>
      </c>
      <c r="AO71" s="20" t="s">
        <v>184</v>
      </c>
      <c r="AP71" s="110" t="s">
        <v>45</v>
      </c>
      <c r="AQ71" s="111" t="s">
        <v>20</v>
      </c>
      <c r="AR71" s="112">
        <v>8</v>
      </c>
      <c r="AS71" s="20" t="s">
        <v>184</v>
      </c>
      <c r="AT71" s="110" t="s">
        <v>45</v>
      </c>
      <c r="AU71" s="111" t="s">
        <v>20</v>
      </c>
      <c r="AV71" s="139"/>
      <c r="AW71" s="20" t="s">
        <v>184</v>
      </c>
      <c r="AX71" s="110" t="s">
        <v>45</v>
      </c>
      <c r="AY71" s="111" t="s">
        <v>20</v>
      </c>
      <c r="AZ71" s="112">
        <v>4</v>
      </c>
      <c r="BA71" s="20" t="s">
        <v>184</v>
      </c>
      <c r="BB71" s="110" t="s">
        <v>45</v>
      </c>
      <c r="BC71" s="111" t="s">
        <v>20</v>
      </c>
      <c r="BD71" s="142"/>
    </row>
    <row r="72" spans="1:56" s="423" customFormat="1" ht="21.75" customHeight="1">
      <c r="A72" s="482" t="s">
        <v>158</v>
      </c>
      <c r="B72" s="433" t="s">
        <v>371</v>
      </c>
      <c r="C72" s="427" t="s">
        <v>23</v>
      </c>
      <c r="D72" s="428">
        <f t="shared" si="2"/>
        <v>145</v>
      </c>
      <c r="E72" s="482" t="s">
        <v>158</v>
      </c>
      <c r="F72" s="433" t="s">
        <v>371</v>
      </c>
      <c r="G72" s="427" t="s">
        <v>23</v>
      </c>
      <c r="H72" s="430">
        <v>8</v>
      </c>
      <c r="I72" s="482" t="s">
        <v>158</v>
      </c>
      <c r="J72" s="434" t="s">
        <v>206</v>
      </c>
      <c r="K72" s="427" t="s">
        <v>23</v>
      </c>
      <c r="L72" s="430">
        <v>14</v>
      </c>
      <c r="M72" s="482" t="s">
        <v>158</v>
      </c>
      <c r="N72" s="434" t="s">
        <v>206</v>
      </c>
      <c r="O72" s="427" t="s">
        <v>23</v>
      </c>
      <c r="P72" s="430">
        <v>13</v>
      </c>
      <c r="Q72" s="482" t="s">
        <v>158</v>
      </c>
      <c r="R72" s="434" t="s">
        <v>206</v>
      </c>
      <c r="S72" s="427" t="s">
        <v>23</v>
      </c>
      <c r="T72" s="430">
        <v>14</v>
      </c>
      <c r="U72" s="482" t="s">
        <v>158</v>
      </c>
      <c r="V72" s="434" t="s">
        <v>206</v>
      </c>
      <c r="W72" s="427" t="s">
        <v>23</v>
      </c>
      <c r="X72" s="430">
        <v>16</v>
      </c>
      <c r="Y72" s="482" t="s">
        <v>158</v>
      </c>
      <c r="Z72" s="434" t="s">
        <v>206</v>
      </c>
      <c r="AA72" s="427" t="s">
        <v>23</v>
      </c>
      <c r="AB72" s="430">
        <v>14</v>
      </c>
      <c r="AC72" s="482" t="s">
        <v>158</v>
      </c>
      <c r="AD72" s="434" t="s">
        <v>206</v>
      </c>
      <c r="AE72" s="427" t="s">
        <v>23</v>
      </c>
      <c r="AF72" s="431">
        <v>7</v>
      </c>
      <c r="AG72" s="482" t="s">
        <v>158</v>
      </c>
      <c r="AH72" s="434" t="s">
        <v>206</v>
      </c>
      <c r="AI72" s="427" t="s">
        <v>23</v>
      </c>
      <c r="AJ72" s="430">
        <v>5</v>
      </c>
      <c r="AK72" s="482" t="s">
        <v>158</v>
      </c>
      <c r="AL72" s="433" t="s">
        <v>206</v>
      </c>
      <c r="AM72" s="427" t="s">
        <v>23</v>
      </c>
      <c r="AN72" s="430">
        <v>13</v>
      </c>
      <c r="AO72" s="482" t="s">
        <v>158</v>
      </c>
      <c r="AP72" s="434" t="s">
        <v>206</v>
      </c>
      <c r="AQ72" s="427" t="s">
        <v>23</v>
      </c>
      <c r="AR72" s="430">
        <v>13</v>
      </c>
      <c r="AS72" s="482" t="s">
        <v>158</v>
      </c>
      <c r="AT72" s="434" t="s">
        <v>206</v>
      </c>
      <c r="AU72" s="427" t="s">
        <v>23</v>
      </c>
      <c r="AV72" s="430">
        <v>7</v>
      </c>
      <c r="AW72" s="482" t="s">
        <v>158</v>
      </c>
      <c r="AX72" s="434" t="s">
        <v>206</v>
      </c>
      <c r="AY72" s="427" t="s">
        <v>23</v>
      </c>
      <c r="AZ72" s="430">
        <v>14</v>
      </c>
      <c r="BA72" s="482" t="s">
        <v>158</v>
      </c>
      <c r="BB72" s="434" t="s">
        <v>206</v>
      </c>
      <c r="BC72" s="427" t="s">
        <v>23</v>
      </c>
      <c r="BD72" s="430">
        <v>7</v>
      </c>
    </row>
    <row r="73" spans="1:56" ht="18.75">
      <c r="A73" s="83" t="s">
        <v>185</v>
      </c>
      <c r="B73" s="84" t="s">
        <v>364</v>
      </c>
      <c r="C73" s="85" t="s">
        <v>212</v>
      </c>
      <c r="D73" s="229">
        <f t="shared" si="2"/>
        <v>660</v>
      </c>
      <c r="E73" s="83" t="s">
        <v>185</v>
      </c>
      <c r="F73" s="84" t="s">
        <v>364</v>
      </c>
      <c r="G73" s="85" t="s">
        <v>212</v>
      </c>
      <c r="H73" s="101">
        <v>40</v>
      </c>
      <c r="I73" s="83" t="s">
        <v>185</v>
      </c>
      <c r="J73" s="84" t="s">
        <v>364</v>
      </c>
      <c r="K73" s="85" t="s">
        <v>212</v>
      </c>
      <c r="L73" s="101">
        <v>70</v>
      </c>
      <c r="M73" s="83" t="s">
        <v>185</v>
      </c>
      <c r="N73" s="84" t="s">
        <v>364</v>
      </c>
      <c r="O73" s="85" t="s">
        <v>212</v>
      </c>
      <c r="P73" s="101">
        <v>70</v>
      </c>
      <c r="Q73" s="83" t="s">
        <v>185</v>
      </c>
      <c r="R73" s="84" t="s">
        <v>364</v>
      </c>
      <c r="S73" s="85" t="s">
        <v>212</v>
      </c>
      <c r="T73" s="101">
        <v>70</v>
      </c>
      <c r="U73" s="83" t="s">
        <v>185</v>
      </c>
      <c r="V73" s="84" t="s">
        <v>364</v>
      </c>
      <c r="W73" s="85" t="s">
        <v>212</v>
      </c>
      <c r="X73" s="101">
        <v>80</v>
      </c>
      <c r="Y73" s="83" t="s">
        <v>185</v>
      </c>
      <c r="Z73" s="84" t="s">
        <v>364</v>
      </c>
      <c r="AA73" s="85" t="s">
        <v>212</v>
      </c>
      <c r="AB73" s="101">
        <f>70*0</f>
        <v>0</v>
      </c>
      <c r="AC73" s="83" t="s">
        <v>185</v>
      </c>
      <c r="AD73" s="84" t="s">
        <v>364</v>
      </c>
      <c r="AE73" s="85" t="s">
        <v>212</v>
      </c>
      <c r="AF73" s="349">
        <v>35</v>
      </c>
      <c r="AG73" s="83" t="s">
        <v>185</v>
      </c>
      <c r="AH73" s="84" t="s">
        <v>364</v>
      </c>
      <c r="AI73" s="85" t="s">
        <v>212</v>
      </c>
      <c r="AJ73" s="101">
        <v>25</v>
      </c>
      <c r="AK73" s="83" t="s">
        <v>185</v>
      </c>
      <c r="AL73" s="84" t="s">
        <v>364</v>
      </c>
      <c r="AM73" s="85" t="s">
        <v>212</v>
      </c>
      <c r="AN73" s="101">
        <v>65</v>
      </c>
      <c r="AO73" s="83" t="s">
        <v>185</v>
      </c>
      <c r="AP73" s="84" t="s">
        <v>364</v>
      </c>
      <c r="AQ73" s="85" t="s">
        <v>212</v>
      </c>
      <c r="AR73" s="101">
        <v>65</v>
      </c>
      <c r="AS73" s="83" t="s">
        <v>185</v>
      </c>
      <c r="AT73" s="84" t="s">
        <v>364</v>
      </c>
      <c r="AU73" s="85" t="s">
        <v>212</v>
      </c>
      <c r="AV73" s="101">
        <v>35</v>
      </c>
      <c r="AW73" s="83" t="s">
        <v>185</v>
      </c>
      <c r="AX73" s="84" t="s">
        <v>364</v>
      </c>
      <c r="AY73" s="85" t="s">
        <v>212</v>
      </c>
      <c r="AZ73" s="101">
        <v>70</v>
      </c>
      <c r="BA73" s="83" t="s">
        <v>185</v>
      </c>
      <c r="BB73" s="84" t="s">
        <v>364</v>
      </c>
      <c r="BC73" s="85" t="s">
        <v>212</v>
      </c>
      <c r="BD73" s="101">
        <v>35</v>
      </c>
    </row>
    <row r="74" spans="1:56" ht="18.75">
      <c r="A74" s="20" t="s">
        <v>186</v>
      </c>
      <c r="B74" s="84" t="s">
        <v>366</v>
      </c>
      <c r="C74" s="85" t="s">
        <v>367</v>
      </c>
      <c r="D74" s="229">
        <f t="shared" si="2"/>
        <v>355</v>
      </c>
      <c r="E74" s="20" t="s">
        <v>186</v>
      </c>
      <c r="F74" s="84" t="s">
        <v>366</v>
      </c>
      <c r="G74" s="85" t="s">
        <v>367</v>
      </c>
      <c r="H74" s="101">
        <v>25</v>
      </c>
      <c r="I74" s="20" t="s">
        <v>186</v>
      </c>
      <c r="J74" s="84" t="s">
        <v>366</v>
      </c>
      <c r="K74" s="85" t="s">
        <v>367</v>
      </c>
      <c r="L74" s="101">
        <v>45</v>
      </c>
      <c r="M74" s="20" t="s">
        <v>186</v>
      </c>
      <c r="N74" s="84" t="s">
        <v>366</v>
      </c>
      <c r="O74" s="85" t="s">
        <v>367</v>
      </c>
      <c r="P74" s="101">
        <v>30</v>
      </c>
      <c r="Q74" s="20" t="s">
        <v>186</v>
      </c>
      <c r="R74" s="84" t="s">
        <v>366</v>
      </c>
      <c r="S74" s="85" t="s">
        <v>367</v>
      </c>
      <c r="T74" s="101">
        <v>30</v>
      </c>
      <c r="U74" s="20" t="s">
        <v>186</v>
      </c>
      <c r="V74" s="84" t="s">
        <v>366</v>
      </c>
      <c r="W74" s="85" t="s">
        <v>367</v>
      </c>
      <c r="X74" s="101">
        <v>40</v>
      </c>
      <c r="Y74" s="20" t="s">
        <v>186</v>
      </c>
      <c r="Z74" s="84" t="s">
        <v>366</v>
      </c>
      <c r="AA74" s="85" t="s">
        <v>367</v>
      </c>
      <c r="AB74" s="101">
        <f>60*0</f>
        <v>0</v>
      </c>
      <c r="AC74" s="20" t="s">
        <v>186</v>
      </c>
      <c r="AD74" s="84" t="s">
        <v>366</v>
      </c>
      <c r="AE74" s="85" t="s">
        <v>367</v>
      </c>
      <c r="AF74" s="349">
        <v>25</v>
      </c>
      <c r="AG74" s="20" t="s">
        <v>186</v>
      </c>
      <c r="AH74" s="84" t="s">
        <v>366</v>
      </c>
      <c r="AI74" s="85" t="s">
        <v>367</v>
      </c>
      <c r="AJ74" s="101">
        <v>35</v>
      </c>
      <c r="AK74" s="20" t="s">
        <v>186</v>
      </c>
      <c r="AL74" s="84" t="s">
        <v>366</v>
      </c>
      <c r="AM74" s="85" t="s">
        <v>367</v>
      </c>
      <c r="AN74" s="101">
        <v>55</v>
      </c>
      <c r="AO74" s="20" t="s">
        <v>186</v>
      </c>
      <c r="AP74" s="84" t="s">
        <v>366</v>
      </c>
      <c r="AQ74" s="85" t="s">
        <v>367</v>
      </c>
      <c r="AR74" s="101"/>
      <c r="AS74" s="20" t="s">
        <v>186</v>
      </c>
      <c r="AT74" s="84" t="s">
        <v>366</v>
      </c>
      <c r="AU74" s="85" t="s">
        <v>367</v>
      </c>
      <c r="AV74" s="101">
        <v>20</v>
      </c>
      <c r="AW74" s="20" t="s">
        <v>186</v>
      </c>
      <c r="AX74" s="84" t="s">
        <v>366</v>
      </c>
      <c r="AY74" s="85" t="s">
        <v>367</v>
      </c>
      <c r="AZ74" s="101">
        <v>35</v>
      </c>
      <c r="BA74" s="20" t="s">
        <v>186</v>
      </c>
      <c r="BB74" s="84" t="s">
        <v>366</v>
      </c>
      <c r="BC74" s="85" t="s">
        <v>367</v>
      </c>
      <c r="BD74" s="101">
        <v>15</v>
      </c>
    </row>
    <row r="75" spans="1:56" ht="18.75">
      <c r="A75" s="20" t="s">
        <v>187</v>
      </c>
      <c r="B75" s="84" t="s">
        <v>368</v>
      </c>
      <c r="C75" s="85" t="s">
        <v>212</v>
      </c>
      <c r="D75" s="229">
        <f t="shared" si="2"/>
        <v>222</v>
      </c>
      <c r="E75" s="20" t="s">
        <v>187</v>
      </c>
      <c r="F75" s="84" t="s">
        <v>368</v>
      </c>
      <c r="G75" s="85" t="s">
        <v>212</v>
      </c>
      <c r="H75" s="101">
        <v>16</v>
      </c>
      <c r="I75" s="20" t="s">
        <v>187</v>
      </c>
      <c r="J75" s="84" t="s">
        <v>368</v>
      </c>
      <c r="K75" s="85" t="s">
        <v>212</v>
      </c>
      <c r="L75" s="101">
        <v>30</v>
      </c>
      <c r="M75" s="20" t="s">
        <v>187</v>
      </c>
      <c r="N75" s="84" t="s">
        <v>368</v>
      </c>
      <c r="O75" s="85" t="s">
        <v>212</v>
      </c>
      <c r="P75" s="101">
        <v>28</v>
      </c>
      <c r="Q75" s="20" t="s">
        <v>187</v>
      </c>
      <c r="R75" s="84" t="s">
        <v>368</v>
      </c>
      <c r="S75" s="85" t="s">
        <v>212</v>
      </c>
      <c r="T75" s="101">
        <v>26</v>
      </c>
      <c r="U75" s="20" t="s">
        <v>187</v>
      </c>
      <c r="V75" s="84" t="s">
        <v>368</v>
      </c>
      <c r="W75" s="85" t="s">
        <v>212</v>
      </c>
      <c r="X75" s="101">
        <v>30</v>
      </c>
      <c r="Y75" s="20" t="s">
        <v>187</v>
      </c>
      <c r="Z75" s="84" t="s">
        <v>368</v>
      </c>
      <c r="AA75" s="85" t="s">
        <v>212</v>
      </c>
      <c r="AB75" s="101">
        <v>0</v>
      </c>
      <c r="AC75" s="20" t="s">
        <v>187</v>
      </c>
      <c r="AD75" s="84" t="s">
        <v>368</v>
      </c>
      <c r="AE75" s="85" t="s">
        <v>212</v>
      </c>
      <c r="AF75" s="349"/>
      <c r="AG75" s="20" t="s">
        <v>187</v>
      </c>
      <c r="AH75" s="84" t="s">
        <v>368</v>
      </c>
      <c r="AI75" s="85" t="s">
        <v>212</v>
      </c>
      <c r="AJ75" s="101">
        <v>10</v>
      </c>
      <c r="AK75" s="20" t="s">
        <v>187</v>
      </c>
      <c r="AL75" s="84" t="s">
        <v>368</v>
      </c>
      <c r="AM75" s="85" t="s">
        <v>212</v>
      </c>
      <c r="AN75" s="101">
        <v>26</v>
      </c>
      <c r="AO75" s="20" t="s">
        <v>187</v>
      </c>
      <c r="AP75" s="84" t="s">
        <v>368</v>
      </c>
      <c r="AQ75" s="85" t="s">
        <v>212</v>
      </c>
      <c r="AR75" s="101"/>
      <c r="AS75" s="20" t="s">
        <v>187</v>
      </c>
      <c r="AT75" s="84" t="s">
        <v>368</v>
      </c>
      <c r="AU75" s="85" t="s">
        <v>212</v>
      </c>
      <c r="AV75" s="101">
        <v>14</v>
      </c>
      <c r="AW75" s="20" t="s">
        <v>187</v>
      </c>
      <c r="AX75" s="84" t="s">
        <v>368</v>
      </c>
      <c r="AY75" s="85" t="s">
        <v>212</v>
      </c>
      <c r="AZ75" s="101">
        <v>28</v>
      </c>
      <c r="BA75" s="20" t="s">
        <v>187</v>
      </c>
      <c r="BB75" s="84" t="s">
        <v>368</v>
      </c>
      <c r="BC75" s="85" t="s">
        <v>212</v>
      </c>
      <c r="BD75" s="101">
        <v>14</v>
      </c>
    </row>
    <row r="76" spans="1:56" s="289" customFormat="1" ht="18.75" customHeight="1">
      <c r="A76" s="143" t="s">
        <v>188</v>
      </c>
      <c r="B76" s="91" t="s">
        <v>36</v>
      </c>
      <c r="C76" s="343" t="s">
        <v>20</v>
      </c>
      <c r="D76" s="240">
        <f t="shared" si="2"/>
        <v>90</v>
      </c>
      <c r="E76" s="143" t="s">
        <v>188</v>
      </c>
      <c r="F76" s="91" t="s">
        <v>36</v>
      </c>
      <c r="G76" s="343" t="s">
        <v>20</v>
      </c>
      <c r="H76" s="288">
        <v>10</v>
      </c>
      <c r="I76" s="143" t="s">
        <v>188</v>
      </c>
      <c r="J76" s="91" t="s">
        <v>36</v>
      </c>
      <c r="K76" s="343" t="s">
        <v>20</v>
      </c>
      <c r="L76" s="288">
        <v>15</v>
      </c>
      <c r="M76" s="143" t="s">
        <v>188</v>
      </c>
      <c r="N76" s="91" t="s">
        <v>36</v>
      </c>
      <c r="O76" s="343" t="s">
        <v>20</v>
      </c>
      <c r="P76" s="342"/>
      <c r="Q76" s="143" t="s">
        <v>188</v>
      </c>
      <c r="R76" s="91" t="s">
        <v>36</v>
      </c>
      <c r="S76" s="343" t="s">
        <v>20</v>
      </c>
      <c r="T76" s="342"/>
      <c r="U76" s="143" t="s">
        <v>188</v>
      </c>
      <c r="V76" s="91" t="s">
        <v>36</v>
      </c>
      <c r="W76" s="343" t="s">
        <v>20</v>
      </c>
      <c r="X76" s="288">
        <v>15</v>
      </c>
      <c r="Y76" s="143" t="s">
        <v>188</v>
      </c>
      <c r="Z76" s="91" t="s">
        <v>36</v>
      </c>
      <c r="AA76" s="343" t="s">
        <v>20</v>
      </c>
      <c r="AB76" s="288">
        <v>0</v>
      </c>
      <c r="AC76" s="143" t="s">
        <v>188</v>
      </c>
      <c r="AD76" s="91" t="s">
        <v>36</v>
      </c>
      <c r="AE76" s="343" t="s">
        <v>20</v>
      </c>
      <c r="AF76" s="288">
        <v>5</v>
      </c>
      <c r="AG76" s="143" t="s">
        <v>188</v>
      </c>
      <c r="AH76" s="91" t="s">
        <v>36</v>
      </c>
      <c r="AI76" s="343" t="s">
        <v>20</v>
      </c>
      <c r="AJ76" s="288">
        <v>10</v>
      </c>
      <c r="AK76" s="143" t="s">
        <v>188</v>
      </c>
      <c r="AL76" s="91" t="s">
        <v>36</v>
      </c>
      <c r="AM76" s="343" t="s">
        <v>20</v>
      </c>
      <c r="AN76" s="288">
        <v>20</v>
      </c>
      <c r="AO76" s="143" t="s">
        <v>188</v>
      </c>
      <c r="AP76" s="91" t="s">
        <v>36</v>
      </c>
      <c r="AQ76" s="343" t="s">
        <v>20</v>
      </c>
      <c r="AR76" s="288"/>
      <c r="AS76" s="143" t="s">
        <v>188</v>
      </c>
      <c r="AT76" s="91" t="s">
        <v>36</v>
      </c>
      <c r="AU76" s="343" t="s">
        <v>20</v>
      </c>
      <c r="AV76" s="288"/>
      <c r="AW76" s="143" t="s">
        <v>188</v>
      </c>
      <c r="AX76" s="91" t="s">
        <v>36</v>
      </c>
      <c r="AY76" s="343" t="s">
        <v>20</v>
      </c>
      <c r="AZ76" s="288">
        <v>10</v>
      </c>
      <c r="BA76" s="143" t="s">
        <v>188</v>
      </c>
      <c r="BB76" s="91" t="s">
        <v>36</v>
      </c>
      <c r="BC76" s="343" t="s">
        <v>20</v>
      </c>
      <c r="BD76" s="288">
        <v>5</v>
      </c>
    </row>
    <row r="77" spans="1:56" ht="18.75" customHeight="1">
      <c r="A77" s="143" t="s">
        <v>189</v>
      </c>
      <c r="B77" s="84" t="s">
        <v>351</v>
      </c>
      <c r="C77" s="85" t="s">
        <v>10</v>
      </c>
      <c r="D77" s="229">
        <f t="shared" si="2"/>
        <v>112</v>
      </c>
      <c r="E77" s="143" t="s">
        <v>189</v>
      </c>
      <c r="F77" s="84" t="s">
        <v>351</v>
      </c>
      <c r="G77" s="85" t="s">
        <v>10</v>
      </c>
      <c r="H77" s="101">
        <v>8</v>
      </c>
      <c r="I77" s="143" t="s">
        <v>189</v>
      </c>
      <c r="J77" s="84" t="s">
        <v>351</v>
      </c>
      <c r="K77" s="85" t="s">
        <v>10</v>
      </c>
      <c r="L77" s="101">
        <v>14</v>
      </c>
      <c r="M77" s="143" t="s">
        <v>189</v>
      </c>
      <c r="N77" s="84" t="s">
        <v>351</v>
      </c>
      <c r="O77" s="85" t="s">
        <v>10</v>
      </c>
      <c r="P77" s="349">
        <v>14</v>
      </c>
      <c r="Q77" s="143" t="s">
        <v>189</v>
      </c>
      <c r="R77" s="84" t="s">
        <v>351</v>
      </c>
      <c r="S77" s="85" t="s">
        <v>10</v>
      </c>
      <c r="T77" s="101">
        <v>14</v>
      </c>
      <c r="U77" s="143" t="s">
        <v>189</v>
      </c>
      <c r="V77" s="84" t="s">
        <v>351</v>
      </c>
      <c r="W77" s="85" t="s">
        <v>10</v>
      </c>
      <c r="X77" s="101">
        <v>16</v>
      </c>
      <c r="Y77" s="143" t="s">
        <v>189</v>
      </c>
      <c r="Z77" s="84" t="s">
        <v>351</v>
      </c>
      <c r="AA77" s="85" t="s">
        <v>10</v>
      </c>
      <c r="AB77" s="101">
        <v>0</v>
      </c>
      <c r="AC77" s="143" t="s">
        <v>189</v>
      </c>
      <c r="AD77" s="84" t="s">
        <v>351</v>
      </c>
      <c r="AE77" s="85" t="s">
        <v>10</v>
      </c>
      <c r="AF77" s="101"/>
      <c r="AG77" s="143" t="s">
        <v>189</v>
      </c>
      <c r="AH77" s="84" t="s">
        <v>351</v>
      </c>
      <c r="AI77" s="85" t="s">
        <v>10</v>
      </c>
      <c r="AJ77" s="101">
        <v>5</v>
      </c>
      <c r="AK77" s="143" t="s">
        <v>189</v>
      </c>
      <c r="AL77" s="84" t="s">
        <v>351</v>
      </c>
      <c r="AM77" s="85" t="s">
        <v>10</v>
      </c>
      <c r="AN77" s="101">
        <v>13</v>
      </c>
      <c r="AO77" s="143" t="s">
        <v>189</v>
      </c>
      <c r="AP77" s="84" t="s">
        <v>351</v>
      </c>
      <c r="AQ77" s="85" t="s">
        <v>10</v>
      </c>
      <c r="AR77" s="101"/>
      <c r="AS77" s="143" t="s">
        <v>189</v>
      </c>
      <c r="AT77" s="84" t="s">
        <v>351</v>
      </c>
      <c r="AU77" s="85" t="s">
        <v>10</v>
      </c>
      <c r="AV77" s="101">
        <v>7</v>
      </c>
      <c r="AW77" s="143" t="s">
        <v>189</v>
      </c>
      <c r="AX77" s="84" t="s">
        <v>351</v>
      </c>
      <c r="AY77" s="85" t="s">
        <v>10</v>
      </c>
      <c r="AZ77" s="101">
        <v>14</v>
      </c>
      <c r="BA77" s="143" t="s">
        <v>189</v>
      </c>
      <c r="BB77" s="84" t="s">
        <v>351</v>
      </c>
      <c r="BC77" s="85" t="s">
        <v>10</v>
      </c>
      <c r="BD77" s="101">
        <v>7</v>
      </c>
    </row>
    <row r="78" spans="1:56" ht="18.75" customHeight="1">
      <c r="A78" s="143" t="s">
        <v>190</v>
      </c>
      <c r="B78" s="84" t="s">
        <v>369</v>
      </c>
      <c r="C78" s="85" t="s">
        <v>10</v>
      </c>
      <c r="D78" s="229">
        <f t="shared" si="2"/>
        <v>238</v>
      </c>
      <c r="E78" s="143" t="s">
        <v>190</v>
      </c>
      <c r="F78" s="84" t="s">
        <v>369</v>
      </c>
      <c r="G78" s="85" t="s">
        <v>10</v>
      </c>
      <c r="H78" s="101">
        <v>14</v>
      </c>
      <c r="I78" s="143" t="s">
        <v>190</v>
      </c>
      <c r="J78" s="84" t="s">
        <v>369</v>
      </c>
      <c r="K78" s="85" t="s">
        <v>10</v>
      </c>
      <c r="L78" s="101">
        <v>32</v>
      </c>
      <c r="M78" s="143" t="s">
        <v>190</v>
      </c>
      <c r="N78" s="84" t="s">
        <v>369</v>
      </c>
      <c r="O78" s="85" t="s">
        <v>10</v>
      </c>
      <c r="P78" s="349">
        <v>26</v>
      </c>
      <c r="Q78" s="143" t="s">
        <v>190</v>
      </c>
      <c r="R78" s="84" t="s">
        <v>369</v>
      </c>
      <c r="S78" s="85" t="s">
        <v>10</v>
      </c>
      <c r="T78" s="101">
        <v>28</v>
      </c>
      <c r="U78" s="143" t="s">
        <v>190</v>
      </c>
      <c r="V78" s="84" t="s">
        <v>369</v>
      </c>
      <c r="W78" s="85" t="s">
        <v>10</v>
      </c>
      <c r="X78" s="101">
        <v>34</v>
      </c>
      <c r="Y78" s="143" t="s">
        <v>190</v>
      </c>
      <c r="Z78" s="84" t="s">
        <v>369</v>
      </c>
      <c r="AA78" s="85" t="s">
        <v>10</v>
      </c>
      <c r="AB78" s="101">
        <v>0</v>
      </c>
      <c r="AC78" s="143" t="s">
        <v>190</v>
      </c>
      <c r="AD78" s="84" t="s">
        <v>369</v>
      </c>
      <c r="AE78" s="85" t="s">
        <v>10</v>
      </c>
      <c r="AF78" s="101"/>
      <c r="AG78" s="143" t="s">
        <v>190</v>
      </c>
      <c r="AH78" s="84" t="s">
        <v>369</v>
      </c>
      <c r="AI78" s="85" t="s">
        <v>10</v>
      </c>
      <c r="AJ78" s="101">
        <v>10</v>
      </c>
      <c r="AK78" s="143" t="s">
        <v>190</v>
      </c>
      <c r="AL78" s="84" t="s">
        <v>369</v>
      </c>
      <c r="AM78" s="85" t="s">
        <v>10</v>
      </c>
      <c r="AN78" s="101">
        <v>38</v>
      </c>
      <c r="AO78" s="143" t="s">
        <v>190</v>
      </c>
      <c r="AP78" s="84" t="s">
        <v>369</v>
      </c>
      <c r="AQ78" s="85" t="s">
        <v>10</v>
      </c>
      <c r="AR78" s="101"/>
      <c r="AS78" s="143" t="s">
        <v>190</v>
      </c>
      <c r="AT78" s="84" t="s">
        <v>369</v>
      </c>
      <c r="AU78" s="85" t="s">
        <v>10</v>
      </c>
      <c r="AV78" s="101">
        <v>14</v>
      </c>
      <c r="AW78" s="143" t="s">
        <v>190</v>
      </c>
      <c r="AX78" s="84" t="s">
        <v>369</v>
      </c>
      <c r="AY78" s="85" t="s">
        <v>10</v>
      </c>
      <c r="AZ78" s="101">
        <v>32</v>
      </c>
      <c r="BA78" s="143" t="s">
        <v>190</v>
      </c>
      <c r="BB78" s="84" t="s">
        <v>369</v>
      </c>
      <c r="BC78" s="85" t="s">
        <v>10</v>
      </c>
      <c r="BD78" s="101">
        <v>10</v>
      </c>
    </row>
    <row r="79" spans="1:56" ht="18.75" customHeight="1">
      <c r="A79" s="143" t="s">
        <v>191</v>
      </c>
      <c r="B79" s="84" t="s">
        <v>344</v>
      </c>
      <c r="C79" s="85" t="s">
        <v>10</v>
      </c>
      <c r="D79" s="229">
        <f t="shared" si="2"/>
        <v>123</v>
      </c>
      <c r="E79" s="143" t="s">
        <v>191</v>
      </c>
      <c r="F79" s="84" t="s">
        <v>344</v>
      </c>
      <c r="G79" s="85" t="s">
        <v>10</v>
      </c>
      <c r="H79" s="101">
        <v>8</v>
      </c>
      <c r="I79" s="143" t="s">
        <v>191</v>
      </c>
      <c r="J79" s="84" t="s">
        <v>344</v>
      </c>
      <c r="K79" s="85" t="s">
        <v>10</v>
      </c>
      <c r="L79" s="101">
        <v>16</v>
      </c>
      <c r="M79" s="143" t="s">
        <v>191</v>
      </c>
      <c r="N79" s="84" t="s">
        <v>344</v>
      </c>
      <c r="O79" s="85" t="s">
        <v>10</v>
      </c>
      <c r="P79" s="349">
        <v>16</v>
      </c>
      <c r="Q79" s="143" t="s">
        <v>191</v>
      </c>
      <c r="R79" s="84" t="s">
        <v>344</v>
      </c>
      <c r="S79" s="85" t="s">
        <v>10</v>
      </c>
      <c r="T79" s="101">
        <v>16</v>
      </c>
      <c r="U79" s="143" t="s">
        <v>191</v>
      </c>
      <c r="V79" s="84" t="s">
        <v>344</v>
      </c>
      <c r="W79" s="85" t="s">
        <v>10</v>
      </c>
      <c r="X79" s="101">
        <v>16</v>
      </c>
      <c r="Y79" s="143" t="s">
        <v>191</v>
      </c>
      <c r="Z79" s="84" t="s">
        <v>344</v>
      </c>
      <c r="AA79" s="85" t="s">
        <v>10</v>
      </c>
      <c r="AB79" s="101">
        <v>0</v>
      </c>
      <c r="AC79" s="143" t="s">
        <v>191</v>
      </c>
      <c r="AD79" s="84" t="s">
        <v>344</v>
      </c>
      <c r="AE79" s="85" t="s">
        <v>10</v>
      </c>
      <c r="AF79" s="101"/>
      <c r="AG79" s="143" t="s">
        <v>191</v>
      </c>
      <c r="AH79" s="84" t="s">
        <v>344</v>
      </c>
      <c r="AI79" s="85" t="s">
        <v>10</v>
      </c>
      <c r="AJ79" s="101">
        <v>6</v>
      </c>
      <c r="AK79" s="143" t="s">
        <v>191</v>
      </c>
      <c r="AL79" s="84" t="s">
        <v>344</v>
      </c>
      <c r="AM79" s="85" t="s">
        <v>10</v>
      </c>
      <c r="AN79" s="101">
        <v>14</v>
      </c>
      <c r="AO79" s="143" t="s">
        <v>191</v>
      </c>
      <c r="AP79" s="84" t="s">
        <v>344</v>
      </c>
      <c r="AQ79" s="85" t="s">
        <v>10</v>
      </c>
      <c r="AR79" s="101"/>
      <c r="AS79" s="143" t="s">
        <v>191</v>
      </c>
      <c r="AT79" s="84" t="s">
        <v>344</v>
      </c>
      <c r="AU79" s="85" t="s">
        <v>10</v>
      </c>
      <c r="AV79" s="101">
        <v>8</v>
      </c>
      <c r="AW79" s="143" t="s">
        <v>191</v>
      </c>
      <c r="AX79" s="84" t="s">
        <v>344</v>
      </c>
      <c r="AY79" s="85" t="s">
        <v>10</v>
      </c>
      <c r="AZ79" s="101">
        <v>15</v>
      </c>
      <c r="BA79" s="143" t="s">
        <v>191</v>
      </c>
      <c r="BB79" s="84" t="s">
        <v>344</v>
      </c>
      <c r="BC79" s="85" t="s">
        <v>10</v>
      </c>
      <c r="BD79" s="101">
        <v>8</v>
      </c>
    </row>
    <row r="80" spans="1:56" ht="18.75" customHeight="1" hidden="1">
      <c r="A80" s="143" t="s">
        <v>192</v>
      </c>
      <c r="B80" s="84" t="s">
        <v>48</v>
      </c>
      <c r="C80" s="85" t="s">
        <v>10</v>
      </c>
      <c r="D80" s="229">
        <f t="shared" si="2"/>
        <v>0</v>
      </c>
      <c r="E80" s="143" t="s">
        <v>192</v>
      </c>
      <c r="F80" s="84" t="s">
        <v>48</v>
      </c>
      <c r="G80" s="85" t="s">
        <v>10</v>
      </c>
      <c r="H80" s="101"/>
      <c r="I80" s="143" t="s">
        <v>192</v>
      </c>
      <c r="J80" s="84" t="s">
        <v>48</v>
      </c>
      <c r="K80" s="85" t="s">
        <v>10</v>
      </c>
      <c r="L80" s="101"/>
      <c r="M80" s="143" t="s">
        <v>192</v>
      </c>
      <c r="N80" s="84" t="s">
        <v>48</v>
      </c>
      <c r="O80" s="85" t="s">
        <v>10</v>
      </c>
      <c r="P80" s="349"/>
      <c r="Q80" s="143" t="s">
        <v>192</v>
      </c>
      <c r="R80" s="84" t="s">
        <v>48</v>
      </c>
      <c r="S80" s="85" t="s">
        <v>10</v>
      </c>
      <c r="T80" s="101"/>
      <c r="U80" s="143" t="s">
        <v>192</v>
      </c>
      <c r="V80" s="84" t="s">
        <v>48</v>
      </c>
      <c r="W80" s="85" t="s">
        <v>10</v>
      </c>
      <c r="X80" s="101"/>
      <c r="Y80" s="143" t="s">
        <v>192</v>
      </c>
      <c r="Z80" s="84" t="s">
        <v>48</v>
      </c>
      <c r="AA80" s="85" t="s">
        <v>10</v>
      </c>
      <c r="AB80" s="101"/>
      <c r="AC80" s="143" t="s">
        <v>192</v>
      </c>
      <c r="AD80" s="84" t="s">
        <v>48</v>
      </c>
      <c r="AE80" s="85" t="s">
        <v>10</v>
      </c>
      <c r="AF80" s="101"/>
      <c r="AG80" s="143" t="s">
        <v>192</v>
      </c>
      <c r="AH80" s="84" t="s">
        <v>48</v>
      </c>
      <c r="AI80" s="85" t="s">
        <v>10</v>
      </c>
      <c r="AJ80" s="101"/>
      <c r="AK80" s="143" t="s">
        <v>192</v>
      </c>
      <c r="AL80" s="84" t="s">
        <v>48</v>
      </c>
      <c r="AM80" s="85" t="s">
        <v>10</v>
      </c>
      <c r="AN80" s="101"/>
      <c r="AO80" s="143" t="s">
        <v>192</v>
      </c>
      <c r="AP80" s="84" t="s">
        <v>48</v>
      </c>
      <c r="AQ80" s="85" t="s">
        <v>10</v>
      </c>
      <c r="AR80" s="101"/>
      <c r="AS80" s="143" t="s">
        <v>192</v>
      </c>
      <c r="AT80" s="84" t="s">
        <v>48</v>
      </c>
      <c r="AU80" s="85" t="s">
        <v>10</v>
      </c>
      <c r="AV80" s="101"/>
      <c r="AW80" s="143" t="s">
        <v>192</v>
      </c>
      <c r="AX80" s="84" t="s">
        <v>48</v>
      </c>
      <c r="AY80" s="85" t="s">
        <v>10</v>
      </c>
      <c r="AZ80" s="101"/>
      <c r="BA80" s="143" t="s">
        <v>192</v>
      </c>
      <c r="BB80" s="84" t="s">
        <v>48</v>
      </c>
      <c r="BC80" s="85" t="s">
        <v>10</v>
      </c>
      <c r="BD80" s="101"/>
    </row>
    <row r="81" spans="1:56" ht="18.75" hidden="1">
      <c r="A81" s="20" t="s">
        <v>193</v>
      </c>
      <c r="B81" s="84" t="s">
        <v>49</v>
      </c>
      <c r="C81" s="85" t="s">
        <v>10</v>
      </c>
      <c r="D81" s="229">
        <f t="shared" si="2"/>
        <v>0</v>
      </c>
      <c r="E81" s="20" t="s">
        <v>193</v>
      </c>
      <c r="F81" s="84" t="s">
        <v>49</v>
      </c>
      <c r="G81" s="85" t="s">
        <v>10</v>
      </c>
      <c r="H81" s="101"/>
      <c r="I81" s="20" t="s">
        <v>193</v>
      </c>
      <c r="J81" s="84" t="s">
        <v>49</v>
      </c>
      <c r="K81" s="85" t="s">
        <v>10</v>
      </c>
      <c r="L81" s="101"/>
      <c r="M81" s="20" t="s">
        <v>193</v>
      </c>
      <c r="N81" s="84" t="s">
        <v>49</v>
      </c>
      <c r="O81" s="85" t="s">
        <v>10</v>
      </c>
      <c r="P81" s="101"/>
      <c r="Q81" s="20" t="s">
        <v>193</v>
      </c>
      <c r="R81" s="84" t="s">
        <v>49</v>
      </c>
      <c r="S81" s="85" t="s">
        <v>10</v>
      </c>
      <c r="T81" s="101"/>
      <c r="U81" s="20" t="s">
        <v>193</v>
      </c>
      <c r="V81" s="84" t="s">
        <v>49</v>
      </c>
      <c r="W81" s="85" t="s">
        <v>10</v>
      </c>
      <c r="X81" s="101"/>
      <c r="Y81" s="20" t="s">
        <v>193</v>
      </c>
      <c r="Z81" s="84" t="s">
        <v>49</v>
      </c>
      <c r="AA81" s="85" t="s">
        <v>10</v>
      </c>
      <c r="AB81" s="101"/>
      <c r="AC81" s="20" t="s">
        <v>193</v>
      </c>
      <c r="AD81" s="84" t="s">
        <v>49</v>
      </c>
      <c r="AE81" s="85" t="s">
        <v>10</v>
      </c>
      <c r="AF81" s="349"/>
      <c r="AG81" s="20" t="s">
        <v>193</v>
      </c>
      <c r="AH81" s="84" t="s">
        <v>49</v>
      </c>
      <c r="AI81" s="85" t="s">
        <v>10</v>
      </c>
      <c r="AJ81" s="349"/>
      <c r="AK81" s="20" t="s">
        <v>193</v>
      </c>
      <c r="AL81" s="84" t="s">
        <v>49</v>
      </c>
      <c r="AM81" s="85" t="s">
        <v>10</v>
      </c>
      <c r="AN81" s="101"/>
      <c r="AO81" s="20" t="s">
        <v>193</v>
      </c>
      <c r="AP81" s="84" t="s">
        <v>49</v>
      </c>
      <c r="AQ81" s="85" t="s">
        <v>10</v>
      </c>
      <c r="AR81" s="101"/>
      <c r="AS81" s="20" t="s">
        <v>193</v>
      </c>
      <c r="AT81" s="84" t="s">
        <v>49</v>
      </c>
      <c r="AU81" s="85" t="s">
        <v>10</v>
      </c>
      <c r="AV81" s="101"/>
      <c r="AW81" s="20" t="s">
        <v>193</v>
      </c>
      <c r="AX81" s="84" t="s">
        <v>49</v>
      </c>
      <c r="AY81" s="85" t="s">
        <v>10</v>
      </c>
      <c r="AZ81" s="101"/>
      <c r="BA81" s="20" t="s">
        <v>193</v>
      </c>
      <c r="BB81" s="84" t="s">
        <v>49</v>
      </c>
      <c r="BC81" s="85" t="s">
        <v>10</v>
      </c>
      <c r="BD81" s="101"/>
    </row>
    <row r="82" spans="1:56" s="593" customFormat="1" ht="18.75">
      <c r="A82" s="594" t="s">
        <v>159</v>
      </c>
      <c r="B82" s="587" t="s">
        <v>370</v>
      </c>
      <c r="C82" s="590"/>
      <c r="D82" s="502"/>
      <c r="E82" s="594" t="s">
        <v>159</v>
      </c>
      <c r="F82" s="587" t="s">
        <v>370</v>
      </c>
      <c r="G82" s="590"/>
      <c r="H82" s="591"/>
      <c r="I82" s="594" t="s">
        <v>159</v>
      </c>
      <c r="J82" s="587" t="s">
        <v>370</v>
      </c>
      <c r="K82" s="590"/>
      <c r="L82" s="591"/>
      <c r="M82" s="594" t="s">
        <v>159</v>
      </c>
      <c r="N82" s="587" t="s">
        <v>370</v>
      </c>
      <c r="O82" s="590"/>
      <c r="P82" s="591"/>
      <c r="Q82" s="594" t="s">
        <v>159</v>
      </c>
      <c r="R82" s="587" t="s">
        <v>370</v>
      </c>
      <c r="S82" s="590"/>
      <c r="T82" s="591"/>
      <c r="U82" s="594" t="s">
        <v>159</v>
      </c>
      <c r="V82" s="587" t="s">
        <v>370</v>
      </c>
      <c r="W82" s="590"/>
      <c r="X82" s="591"/>
      <c r="Y82" s="594" t="s">
        <v>159</v>
      </c>
      <c r="Z82" s="587" t="s">
        <v>370</v>
      </c>
      <c r="AA82" s="590"/>
      <c r="AB82" s="591"/>
      <c r="AC82" s="594" t="s">
        <v>159</v>
      </c>
      <c r="AD82" s="587" t="s">
        <v>370</v>
      </c>
      <c r="AE82" s="590"/>
      <c r="AF82" s="592"/>
      <c r="AG82" s="594" t="s">
        <v>159</v>
      </c>
      <c r="AH82" s="587" t="s">
        <v>370</v>
      </c>
      <c r="AI82" s="590"/>
      <c r="AJ82" s="592"/>
      <c r="AK82" s="594" t="s">
        <v>159</v>
      </c>
      <c r="AL82" s="587" t="s">
        <v>370</v>
      </c>
      <c r="AM82" s="590"/>
      <c r="AN82" s="591"/>
      <c r="AO82" s="594" t="s">
        <v>159</v>
      </c>
      <c r="AP82" s="587" t="s">
        <v>370</v>
      </c>
      <c r="AQ82" s="590"/>
      <c r="AR82" s="591"/>
      <c r="AS82" s="594" t="s">
        <v>159</v>
      </c>
      <c r="AT82" s="587" t="s">
        <v>370</v>
      </c>
      <c r="AU82" s="590"/>
      <c r="AV82" s="591"/>
      <c r="AW82" s="594" t="s">
        <v>159</v>
      </c>
      <c r="AX82" s="587" t="s">
        <v>370</v>
      </c>
      <c r="AY82" s="590"/>
      <c r="AZ82" s="591"/>
      <c r="BA82" s="594" t="s">
        <v>159</v>
      </c>
      <c r="BB82" s="587" t="s">
        <v>370</v>
      </c>
      <c r="BC82" s="590"/>
      <c r="BD82" s="591"/>
    </row>
    <row r="83" spans="1:56" ht="18.75">
      <c r="A83" s="20" t="s">
        <v>395</v>
      </c>
      <c r="B83" s="338" t="s">
        <v>380</v>
      </c>
      <c r="C83" s="85" t="s">
        <v>10</v>
      </c>
      <c r="D83" s="229">
        <f>(H83+L83+P83+T83+X83+AB83+AF83+AJ83+AN83+AR83+AV83+AZ83+BD83)</f>
        <v>12</v>
      </c>
      <c r="E83" s="20" t="s">
        <v>395</v>
      </c>
      <c r="F83" s="338" t="s">
        <v>380</v>
      </c>
      <c r="G83" s="85" t="s">
        <v>10</v>
      </c>
      <c r="H83" s="101">
        <v>1</v>
      </c>
      <c r="I83" s="20" t="s">
        <v>395</v>
      </c>
      <c r="J83" s="338" t="s">
        <v>380</v>
      </c>
      <c r="K83" s="85" t="s">
        <v>10</v>
      </c>
      <c r="L83" s="101">
        <v>1</v>
      </c>
      <c r="M83" s="20" t="s">
        <v>395</v>
      </c>
      <c r="N83" s="84" t="s">
        <v>69</v>
      </c>
      <c r="O83" s="85" t="s">
        <v>10</v>
      </c>
      <c r="P83" s="101">
        <v>1</v>
      </c>
      <c r="Q83" s="20" t="s">
        <v>395</v>
      </c>
      <c r="R83" s="338" t="s">
        <v>380</v>
      </c>
      <c r="S83" s="85" t="s">
        <v>10</v>
      </c>
      <c r="T83" s="101">
        <v>1</v>
      </c>
      <c r="U83" s="20" t="s">
        <v>395</v>
      </c>
      <c r="V83" s="338" t="s">
        <v>380</v>
      </c>
      <c r="W83" s="85" t="s">
        <v>10</v>
      </c>
      <c r="X83" s="101">
        <v>1</v>
      </c>
      <c r="Y83" s="20" t="s">
        <v>395</v>
      </c>
      <c r="Z83" s="338" t="s">
        <v>380</v>
      </c>
      <c r="AA83" s="85" t="s">
        <v>10</v>
      </c>
      <c r="AB83" s="101">
        <v>1</v>
      </c>
      <c r="AC83" s="20" t="s">
        <v>395</v>
      </c>
      <c r="AD83" s="338" t="s">
        <v>380</v>
      </c>
      <c r="AE83" s="85" t="s">
        <v>10</v>
      </c>
      <c r="AF83" s="349">
        <v>1</v>
      </c>
      <c r="AG83" s="20" t="s">
        <v>395</v>
      </c>
      <c r="AH83" s="338" t="s">
        <v>380</v>
      </c>
      <c r="AI83" s="85" t="s">
        <v>10</v>
      </c>
      <c r="AJ83" s="349">
        <v>1</v>
      </c>
      <c r="AK83" s="20" t="s">
        <v>395</v>
      </c>
      <c r="AL83" s="338" t="s">
        <v>380</v>
      </c>
      <c r="AM83" s="85" t="s">
        <v>10</v>
      </c>
      <c r="AN83" s="101">
        <v>1</v>
      </c>
      <c r="AO83" s="20" t="s">
        <v>395</v>
      </c>
      <c r="AP83" s="338" t="s">
        <v>380</v>
      </c>
      <c r="AQ83" s="85" t="s">
        <v>10</v>
      </c>
      <c r="AR83" s="101"/>
      <c r="AS83" s="20" t="s">
        <v>395</v>
      </c>
      <c r="AT83" s="338" t="s">
        <v>380</v>
      </c>
      <c r="AU83" s="85" t="s">
        <v>10</v>
      </c>
      <c r="AV83" s="101">
        <v>1</v>
      </c>
      <c r="AW83" s="20" t="s">
        <v>395</v>
      </c>
      <c r="AX83" s="338" t="s">
        <v>380</v>
      </c>
      <c r="AY83" s="85" t="s">
        <v>10</v>
      </c>
      <c r="AZ83" s="101">
        <v>1</v>
      </c>
      <c r="BA83" s="20" t="s">
        <v>395</v>
      </c>
      <c r="BB83" s="338" t="s">
        <v>380</v>
      </c>
      <c r="BC83" s="85" t="s">
        <v>10</v>
      </c>
      <c r="BD83" s="101">
        <v>1</v>
      </c>
    </row>
    <row r="84" spans="1:56" ht="18.75">
      <c r="A84" s="20" t="s">
        <v>396</v>
      </c>
      <c r="B84" s="84" t="s">
        <v>343</v>
      </c>
      <c r="C84" s="85" t="s">
        <v>10</v>
      </c>
      <c r="D84" s="229">
        <f>H84+L84+P84+T84+X84+AB84+AF84+AJ84+AN84+AR84+AV84+AZ84+BD84</f>
        <v>31</v>
      </c>
      <c r="E84" s="20" t="s">
        <v>396</v>
      </c>
      <c r="F84" s="84" t="s">
        <v>343</v>
      </c>
      <c r="G84" s="85" t="s">
        <v>10</v>
      </c>
      <c r="H84" s="101">
        <v>2</v>
      </c>
      <c r="I84" s="20" t="s">
        <v>396</v>
      </c>
      <c r="J84" s="84" t="s">
        <v>343</v>
      </c>
      <c r="K84" s="85" t="s">
        <v>10</v>
      </c>
      <c r="L84" s="101">
        <v>3</v>
      </c>
      <c r="M84" s="20" t="s">
        <v>396</v>
      </c>
      <c r="N84" s="84" t="s">
        <v>343</v>
      </c>
      <c r="O84" s="85" t="s">
        <v>10</v>
      </c>
      <c r="P84" s="101">
        <v>3</v>
      </c>
      <c r="Q84" s="20" t="s">
        <v>396</v>
      </c>
      <c r="R84" s="84" t="s">
        <v>343</v>
      </c>
      <c r="S84" s="85" t="s">
        <v>10</v>
      </c>
      <c r="T84" s="101">
        <v>3</v>
      </c>
      <c r="U84" s="20" t="s">
        <v>396</v>
      </c>
      <c r="V84" s="84" t="s">
        <v>343</v>
      </c>
      <c r="W84" s="85" t="s">
        <v>10</v>
      </c>
      <c r="X84" s="101">
        <v>3</v>
      </c>
      <c r="Y84" s="20" t="s">
        <v>396</v>
      </c>
      <c r="Z84" s="84" t="s">
        <v>343</v>
      </c>
      <c r="AA84" s="85" t="s">
        <v>10</v>
      </c>
      <c r="AB84" s="101">
        <v>6</v>
      </c>
      <c r="AC84" s="20" t="s">
        <v>396</v>
      </c>
      <c r="AD84" s="84" t="s">
        <v>343</v>
      </c>
      <c r="AE84" s="85" t="s">
        <v>10</v>
      </c>
      <c r="AF84" s="349">
        <v>2</v>
      </c>
      <c r="AG84" s="20" t="s">
        <v>396</v>
      </c>
      <c r="AH84" s="84" t="s">
        <v>343</v>
      </c>
      <c r="AI84" s="85" t="s">
        <v>10</v>
      </c>
      <c r="AJ84" s="349">
        <v>2</v>
      </c>
      <c r="AK84" s="20" t="s">
        <v>396</v>
      </c>
      <c r="AL84" s="84" t="s">
        <v>343</v>
      </c>
      <c r="AM84" s="85" t="s">
        <v>10</v>
      </c>
      <c r="AN84" s="101"/>
      <c r="AO84" s="20" t="s">
        <v>396</v>
      </c>
      <c r="AP84" s="84" t="s">
        <v>343</v>
      </c>
      <c r="AQ84" s="85" t="s">
        <v>10</v>
      </c>
      <c r="AR84" s="101"/>
      <c r="AS84" s="20" t="s">
        <v>396</v>
      </c>
      <c r="AT84" s="84" t="s">
        <v>343</v>
      </c>
      <c r="AU84" s="85" t="s">
        <v>10</v>
      </c>
      <c r="AV84" s="101">
        <v>2</v>
      </c>
      <c r="AW84" s="20" t="s">
        <v>396</v>
      </c>
      <c r="AX84" s="84" t="s">
        <v>343</v>
      </c>
      <c r="AY84" s="85" t="s">
        <v>10</v>
      </c>
      <c r="AZ84" s="101">
        <v>3</v>
      </c>
      <c r="BA84" s="20" t="s">
        <v>396</v>
      </c>
      <c r="BB84" s="84" t="s">
        <v>343</v>
      </c>
      <c r="BC84" s="85" t="s">
        <v>10</v>
      </c>
      <c r="BD84" s="101">
        <v>2</v>
      </c>
    </row>
    <row r="85" spans="1:56" ht="18.75" hidden="1">
      <c r="A85" s="20" t="s">
        <v>397</v>
      </c>
      <c r="B85" s="84" t="s">
        <v>214</v>
      </c>
      <c r="C85" s="343" t="s">
        <v>23</v>
      </c>
      <c r="D85" s="229">
        <f>H85+L85+P85+T85+X85+AB85+AF85+AJ85+AN85+AR85+AV85+AZ85+BD85</f>
        <v>0</v>
      </c>
      <c r="E85" s="20" t="s">
        <v>397</v>
      </c>
      <c r="F85" s="84" t="s">
        <v>214</v>
      </c>
      <c r="G85" s="85" t="s">
        <v>23</v>
      </c>
      <c r="H85" s="101"/>
      <c r="I85" s="20" t="s">
        <v>397</v>
      </c>
      <c r="J85" s="84" t="s">
        <v>214</v>
      </c>
      <c r="K85" s="85" t="s">
        <v>23</v>
      </c>
      <c r="L85" s="101"/>
      <c r="M85" s="20" t="s">
        <v>397</v>
      </c>
      <c r="N85" s="84" t="s">
        <v>214</v>
      </c>
      <c r="O85" s="85" t="s">
        <v>23</v>
      </c>
      <c r="P85" s="101"/>
      <c r="Q85" s="20" t="s">
        <v>397</v>
      </c>
      <c r="R85" s="84" t="s">
        <v>214</v>
      </c>
      <c r="S85" s="85" t="s">
        <v>23</v>
      </c>
      <c r="T85" s="101"/>
      <c r="U85" s="20" t="s">
        <v>397</v>
      </c>
      <c r="V85" s="84" t="s">
        <v>214</v>
      </c>
      <c r="W85" s="85" t="s">
        <v>23</v>
      </c>
      <c r="X85" s="101"/>
      <c r="Y85" s="20" t="s">
        <v>397</v>
      </c>
      <c r="Z85" s="84" t="s">
        <v>214</v>
      </c>
      <c r="AA85" s="85" t="s">
        <v>23</v>
      </c>
      <c r="AB85" s="101"/>
      <c r="AC85" s="20" t="s">
        <v>397</v>
      </c>
      <c r="AD85" s="84" t="s">
        <v>214</v>
      </c>
      <c r="AE85" s="85" t="s">
        <v>23</v>
      </c>
      <c r="AF85" s="349"/>
      <c r="AG85" s="20" t="s">
        <v>397</v>
      </c>
      <c r="AH85" s="84" t="s">
        <v>214</v>
      </c>
      <c r="AI85" s="85" t="s">
        <v>23</v>
      </c>
      <c r="AJ85" s="349"/>
      <c r="AK85" s="20" t="s">
        <v>397</v>
      </c>
      <c r="AL85" s="84" t="s">
        <v>214</v>
      </c>
      <c r="AM85" s="85" t="s">
        <v>23</v>
      </c>
      <c r="AN85" s="101"/>
      <c r="AO85" s="20" t="s">
        <v>397</v>
      </c>
      <c r="AP85" s="84" t="s">
        <v>214</v>
      </c>
      <c r="AQ85" s="85" t="s">
        <v>23</v>
      </c>
      <c r="AR85" s="101"/>
      <c r="AS85" s="20" t="s">
        <v>397</v>
      </c>
      <c r="AT85" s="84" t="s">
        <v>214</v>
      </c>
      <c r="AU85" s="85" t="s">
        <v>23</v>
      </c>
      <c r="AV85" s="101"/>
      <c r="AW85" s="20" t="s">
        <v>397</v>
      </c>
      <c r="AX85" s="84" t="s">
        <v>214</v>
      </c>
      <c r="AY85" s="85" t="s">
        <v>23</v>
      </c>
      <c r="AZ85" s="101"/>
      <c r="BA85" s="20" t="s">
        <v>397</v>
      </c>
      <c r="BB85" s="84" t="s">
        <v>214</v>
      </c>
      <c r="BC85" s="85" t="s">
        <v>23</v>
      </c>
      <c r="BD85" s="101"/>
    </row>
    <row r="86" spans="1:56" ht="18.75" hidden="1">
      <c r="A86" s="20" t="s">
        <v>398</v>
      </c>
      <c r="B86" s="84" t="s">
        <v>356</v>
      </c>
      <c r="C86" s="85" t="s">
        <v>20</v>
      </c>
      <c r="D86" s="229">
        <f>H86+L86+P86+T86+X86+AB86+AF86+AJ86+AN86+AR86+AV86+AZ86+BD86</f>
        <v>0</v>
      </c>
      <c r="E86" s="20" t="s">
        <v>398</v>
      </c>
      <c r="F86" s="84" t="s">
        <v>356</v>
      </c>
      <c r="G86" s="85" t="s">
        <v>20</v>
      </c>
      <c r="H86" s="101"/>
      <c r="I86" s="20" t="s">
        <v>398</v>
      </c>
      <c r="J86" s="84" t="s">
        <v>356</v>
      </c>
      <c r="K86" s="85" t="s">
        <v>20</v>
      </c>
      <c r="L86" s="101"/>
      <c r="M86" s="20" t="s">
        <v>398</v>
      </c>
      <c r="N86" s="84" t="s">
        <v>356</v>
      </c>
      <c r="O86" s="85" t="s">
        <v>20</v>
      </c>
      <c r="P86" s="101"/>
      <c r="Q86" s="20" t="s">
        <v>398</v>
      </c>
      <c r="R86" s="84" t="s">
        <v>356</v>
      </c>
      <c r="S86" s="85" t="s">
        <v>20</v>
      </c>
      <c r="T86" s="101"/>
      <c r="U86" s="20" t="s">
        <v>398</v>
      </c>
      <c r="V86" s="84" t="s">
        <v>356</v>
      </c>
      <c r="W86" s="85" t="s">
        <v>20</v>
      </c>
      <c r="X86" s="101"/>
      <c r="Y86" s="20" t="s">
        <v>398</v>
      </c>
      <c r="Z86" s="84" t="s">
        <v>356</v>
      </c>
      <c r="AA86" s="85" t="s">
        <v>20</v>
      </c>
      <c r="AB86" s="101"/>
      <c r="AC86" s="20" t="s">
        <v>398</v>
      </c>
      <c r="AD86" s="84" t="s">
        <v>356</v>
      </c>
      <c r="AE86" s="85" t="s">
        <v>20</v>
      </c>
      <c r="AF86" s="349"/>
      <c r="AG86" s="20" t="s">
        <v>398</v>
      </c>
      <c r="AH86" s="84" t="s">
        <v>356</v>
      </c>
      <c r="AI86" s="85" t="s">
        <v>20</v>
      </c>
      <c r="AJ86" s="349"/>
      <c r="AK86" s="20" t="s">
        <v>398</v>
      </c>
      <c r="AL86" s="84" t="s">
        <v>356</v>
      </c>
      <c r="AM86" s="85" t="s">
        <v>20</v>
      </c>
      <c r="AN86" s="101"/>
      <c r="AO86" s="20" t="s">
        <v>398</v>
      </c>
      <c r="AP86" s="84" t="s">
        <v>356</v>
      </c>
      <c r="AQ86" s="85" t="s">
        <v>20</v>
      </c>
      <c r="AR86" s="101"/>
      <c r="AS86" s="20" t="s">
        <v>398</v>
      </c>
      <c r="AT86" s="84" t="s">
        <v>356</v>
      </c>
      <c r="AU86" s="85" t="s">
        <v>20</v>
      </c>
      <c r="AV86" s="101"/>
      <c r="AW86" s="20" t="s">
        <v>398</v>
      </c>
      <c r="AX86" s="84" t="s">
        <v>356</v>
      </c>
      <c r="AY86" s="85" t="s">
        <v>20</v>
      </c>
      <c r="AZ86" s="101"/>
      <c r="BA86" s="20" t="s">
        <v>398</v>
      </c>
      <c r="BB86" s="84" t="s">
        <v>356</v>
      </c>
      <c r="BC86" s="85" t="s">
        <v>20</v>
      </c>
      <c r="BD86" s="101"/>
    </row>
    <row r="87" spans="1:56" ht="18.75">
      <c r="A87" s="39"/>
      <c r="B87" s="103" t="s">
        <v>216</v>
      </c>
      <c r="C87" s="104"/>
      <c r="D87" s="236"/>
      <c r="E87" s="39"/>
      <c r="F87" s="103" t="s">
        <v>216</v>
      </c>
      <c r="G87" s="104"/>
      <c r="H87" s="105"/>
      <c r="I87" s="39"/>
      <c r="J87" s="103" t="s">
        <v>216</v>
      </c>
      <c r="K87" s="104"/>
      <c r="L87" s="105"/>
      <c r="M87" s="39"/>
      <c r="N87" s="103" t="s">
        <v>216</v>
      </c>
      <c r="O87" s="104"/>
      <c r="P87" s="105"/>
      <c r="Q87" s="39"/>
      <c r="R87" s="103" t="s">
        <v>216</v>
      </c>
      <c r="S87" s="104"/>
      <c r="T87" s="105"/>
      <c r="U87" s="39"/>
      <c r="V87" s="103" t="s">
        <v>216</v>
      </c>
      <c r="W87" s="104"/>
      <c r="X87" s="105"/>
      <c r="Y87" s="39"/>
      <c r="Z87" s="103" t="s">
        <v>216</v>
      </c>
      <c r="AA87" s="104"/>
      <c r="AB87" s="105"/>
      <c r="AC87" s="39"/>
      <c r="AD87" s="103" t="s">
        <v>216</v>
      </c>
      <c r="AE87" s="104"/>
      <c r="AF87" s="105"/>
      <c r="AG87" s="39"/>
      <c r="AH87" s="103" t="s">
        <v>216</v>
      </c>
      <c r="AI87" s="104"/>
      <c r="AJ87" s="105"/>
      <c r="AK87" s="39"/>
      <c r="AL87" s="103" t="s">
        <v>216</v>
      </c>
      <c r="AM87" s="104"/>
      <c r="AN87" s="105"/>
      <c r="AO87" s="39"/>
      <c r="AP87" s="103" t="s">
        <v>216</v>
      </c>
      <c r="AQ87" s="104"/>
      <c r="AR87" s="105"/>
      <c r="AS87" s="39"/>
      <c r="AT87" s="103" t="s">
        <v>216</v>
      </c>
      <c r="AU87" s="104"/>
      <c r="AV87" s="105"/>
      <c r="AW87" s="39"/>
      <c r="AX87" s="103" t="s">
        <v>216</v>
      </c>
      <c r="AY87" s="104"/>
      <c r="AZ87" s="105"/>
      <c r="BA87" s="39"/>
      <c r="BB87" s="103" t="s">
        <v>216</v>
      </c>
      <c r="BC87" s="104"/>
      <c r="BD87" s="105"/>
    </row>
    <row r="88" spans="1:56" s="401" customFormat="1" ht="18.75">
      <c r="A88" s="397" t="s">
        <v>160</v>
      </c>
      <c r="B88" s="372" t="s">
        <v>375</v>
      </c>
      <c r="C88" s="398"/>
      <c r="D88" s="231"/>
      <c r="E88" s="397" t="s">
        <v>160</v>
      </c>
      <c r="F88" s="372" t="s">
        <v>375</v>
      </c>
      <c r="G88" s="398"/>
      <c r="H88" s="402"/>
      <c r="I88" s="397" t="s">
        <v>160</v>
      </c>
      <c r="J88" s="372" t="s">
        <v>375</v>
      </c>
      <c r="K88" s="398"/>
      <c r="L88" s="231"/>
      <c r="M88" s="397" t="s">
        <v>160</v>
      </c>
      <c r="N88" s="372" t="s">
        <v>375</v>
      </c>
      <c r="O88" s="398"/>
      <c r="P88" s="231"/>
      <c r="Q88" s="397" t="s">
        <v>160</v>
      </c>
      <c r="R88" s="372" t="s">
        <v>375</v>
      </c>
      <c r="S88" s="398"/>
      <c r="T88" s="231"/>
      <c r="U88" s="397" t="s">
        <v>160</v>
      </c>
      <c r="V88" s="372" t="s">
        <v>375</v>
      </c>
      <c r="W88" s="398"/>
      <c r="X88" s="231"/>
      <c r="Y88" s="397" t="s">
        <v>160</v>
      </c>
      <c r="Z88" s="372" t="s">
        <v>375</v>
      </c>
      <c r="AA88" s="398"/>
      <c r="AB88" s="231"/>
      <c r="AC88" s="397" t="s">
        <v>160</v>
      </c>
      <c r="AD88" s="372" t="s">
        <v>375</v>
      </c>
      <c r="AE88" s="398"/>
      <c r="AF88" s="231"/>
      <c r="AG88" s="397" t="s">
        <v>160</v>
      </c>
      <c r="AH88" s="372" t="s">
        <v>375</v>
      </c>
      <c r="AI88" s="398"/>
      <c r="AJ88" s="231"/>
      <c r="AK88" s="397" t="s">
        <v>160</v>
      </c>
      <c r="AL88" s="372" t="s">
        <v>375</v>
      </c>
      <c r="AM88" s="398"/>
      <c r="AN88" s="231"/>
      <c r="AO88" s="397" t="s">
        <v>160</v>
      </c>
      <c r="AP88" s="372" t="s">
        <v>375</v>
      </c>
      <c r="AQ88" s="398"/>
      <c r="AR88" s="231"/>
      <c r="AS88" s="397" t="s">
        <v>160</v>
      </c>
      <c r="AT88" s="372" t="s">
        <v>375</v>
      </c>
      <c r="AU88" s="398"/>
      <c r="AV88" s="231"/>
      <c r="AW88" s="397" t="s">
        <v>160</v>
      </c>
      <c r="AX88" s="372" t="s">
        <v>375</v>
      </c>
      <c r="AY88" s="398"/>
      <c r="AZ88" s="231"/>
      <c r="BA88" s="397" t="s">
        <v>160</v>
      </c>
      <c r="BB88" s="372" t="s">
        <v>375</v>
      </c>
      <c r="BC88" s="398"/>
      <c r="BD88" s="231"/>
    </row>
    <row r="89" spans="1:56" s="289" customFormat="1" ht="18.75" customHeight="1" hidden="1">
      <c r="A89" s="20" t="s">
        <v>218</v>
      </c>
      <c r="B89" s="91" t="s">
        <v>75</v>
      </c>
      <c r="C89" s="343" t="s">
        <v>13</v>
      </c>
      <c r="D89" s="359">
        <f aca="true" t="shared" si="3" ref="D89:D100">H89+L89+P89+T89+X89+AB89+AF89+AJ89+AN89+AR89+AV89+AZ89+BD89</f>
        <v>0</v>
      </c>
      <c r="E89" s="20" t="s">
        <v>218</v>
      </c>
      <c r="F89" s="91" t="s">
        <v>75</v>
      </c>
      <c r="G89" s="343" t="s">
        <v>13</v>
      </c>
      <c r="H89" s="344"/>
      <c r="I89" s="20" t="s">
        <v>218</v>
      </c>
      <c r="J89" s="91" t="s">
        <v>75</v>
      </c>
      <c r="K89" s="343" t="s">
        <v>13</v>
      </c>
      <c r="L89" s="342"/>
      <c r="M89" s="20" t="s">
        <v>218</v>
      </c>
      <c r="N89" s="91" t="s">
        <v>75</v>
      </c>
      <c r="O89" s="343" t="s">
        <v>13</v>
      </c>
      <c r="P89" s="342"/>
      <c r="Q89" s="20" t="s">
        <v>218</v>
      </c>
      <c r="R89" s="91" t="s">
        <v>75</v>
      </c>
      <c r="S89" s="343" t="s">
        <v>13</v>
      </c>
      <c r="T89" s="342"/>
      <c r="U89" s="20" t="s">
        <v>218</v>
      </c>
      <c r="V89" s="91" t="s">
        <v>75</v>
      </c>
      <c r="W89" s="343" t="s">
        <v>13</v>
      </c>
      <c r="X89" s="342"/>
      <c r="Y89" s="20" t="s">
        <v>218</v>
      </c>
      <c r="Z89" s="91" t="s">
        <v>75</v>
      </c>
      <c r="AA89" s="343" t="s">
        <v>13</v>
      </c>
      <c r="AB89" s="342"/>
      <c r="AC89" s="20" t="s">
        <v>218</v>
      </c>
      <c r="AD89" s="91" t="s">
        <v>75</v>
      </c>
      <c r="AE89" s="343" t="s">
        <v>13</v>
      </c>
      <c r="AF89" s="342"/>
      <c r="AG89" s="20" t="s">
        <v>218</v>
      </c>
      <c r="AH89" s="91" t="s">
        <v>75</v>
      </c>
      <c r="AI89" s="343" t="s">
        <v>13</v>
      </c>
      <c r="AJ89" s="342"/>
      <c r="AK89" s="20" t="s">
        <v>218</v>
      </c>
      <c r="AL89" s="91" t="s">
        <v>75</v>
      </c>
      <c r="AM89" s="343" t="s">
        <v>13</v>
      </c>
      <c r="AN89" s="342"/>
      <c r="AO89" s="20" t="s">
        <v>218</v>
      </c>
      <c r="AP89" s="91" t="s">
        <v>75</v>
      </c>
      <c r="AQ89" s="343" t="s">
        <v>13</v>
      </c>
      <c r="AR89" s="342"/>
      <c r="AS89" s="20" t="s">
        <v>218</v>
      </c>
      <c r="AT89" s="91" t="s">
        <v>75</v>
      </c>
      <c r="AU89" s="343" t="s">
        <v>13</v>
      </c>
      <c r="AV89" s="322"/>
      <c r="AW89" s="20" t="s">
        <v>218</v>
      </c>
      <c r="AX89" s="91" t="s">
        <v>75</v>
      </c>
      <c r="AY89" s="343" t="s">
        <v>13</v>
      </c>
      <c r="AZ89" s="342"/>
      <c r="BA89" s="20" t="s">
        <v>218</v>
      </c>
      <c r="BB89" s="91" t="s">
        <v>75</v>
      </c>
      <c r="BC89" s="343" t="s">
        <v>13</v>
      </c>
      <c r="BD89" s="342"/>
    </row>
    <row r="90" spans="1:56" s="289" customFormat="1" ht="18.75" customHeight="1" hidden="1">
      <c r="A90" s="20" t="s">
        <v>399</v>
      </c>
      <c r="B90" s="91" t="s">
        <v>139</v>
      </c>
      <c r="C90" s="343" t="s">
        <v>28</v>
      </c>
      <c r="D90" s="359">
        <f t="shared" si="3"/>
        <v>0</v>
      </c>
      <c r="E90" s="20" t="s">
        <v>399</v>
      </c>
      <c r="F90" s="91" t="s">
        <v>139</v>
      </c>
      <c r="G90" s="343" t="s">
        <v>28</v>
      </c>
      <c r="H90" s="344"/>
      <c r="I90" s="20" t="s">
        <v>399</v>
      </c>
      <c r="J90" s="91" t="s">
        <v>139</v>
      </c>
      <c r="K90" s="343" t="s">
        <v>28</v>
      </c>
      <c r="L90" s="342"/>
      <c r="M90" s="20" t="s">
        <v>399</v>
      </c>
      <c r="N90" s="91" t="s">
        <v>139</v>
      </c>
      <c r="O90" s="343" t="s">
        <v>28</v>
      </c>
      <c r="P90" s="342"/>
      <c r="Q90" s="20" t="s">
        <v>399</v>
      </c>
      <c r="R90" s="91" t="s">
        <v>139</v>
      </c>
      <c r="S90" s="343" t="s">
        <v>28</v>
      </c>
      <c r="T90" s="342"/>
      <c r="U90" s="20" t="s">
        <v>399</v>
      </c>
      <c r="V90" s="91" t="s">
        <v>139</v>
      </c>
      <c r="W90" s="343" t="s">
        <v>28</v>
      </c>
      <c r="X90" s="342"/>
      <c r="Y90" s="20" t="s">
        <v>399</v>
      </c>
      <c r="Z90" s="91" t="s">
        <v>139</v>
      </c>
      <c r="AA90" s="343" t="s">
        <v>28</v>
      </c>
      <c r="AB90" s="342"/>
      <c r="AC90" s="20" t="s">
        <v>399</v>
      </c>
      <c r="AD90" s="91" t="s">
        <v>139</v>
      </c>
      <c r="AE90" s="343" t="s">
        <v>28</v>
      </c>
      <c r="AF90" s="342"/>
      <c r="AG90" s="20" t="s">
        <v>399</v>
      </c>
      <c r="AH90" s="91" t="s">
        <v>139</v>
      </c>
      <c r="AI90" s="343" t="s">
        <v>28</v>
      </c>
      <c r="AJ90" s="342"/>
      <c r="AK90" s="20" t="s">
        <v>399</v>
      </c>
      <c r="AL90" s="91" t="s">
        <v>139</v>
      </c>
      <c r="AM90" s="343" t="s">
        <v>28</v>
      </c>
      <c r="AN90" s="342"/>
      <c r="AO90" s="20" t="s">
        <v>399</v>
      </c>
      <c r="AP90" s="91" t="s">
        <v>139</v>
      </c>
      <c r="AQ90" s="343" t="s">
        <v>28</v>
      </c>
      <c r="AR90" s="342"/>
      <c r="AS90" s="20" t="s">
        <v>399</v>
      </c>
      <c r="AT90" s="91" t="s">
        <v>139</v>
      </c>
      <c r="AU90" s="343" t="s">
        <v>28</v>
      </c>
      <c r="AV90" s="322"/>
      <c r="AW90" s="20" t="s">
        <v>399</v>
      </c>
      <c r="AX90" s="91" t="s">
        <v>139</v>
      </c>
      <c r="AY90" s="343" t="s">
        <v>28</v>
      </c>
      <c r="AZ90" s="342"/>
      <c r="BA90" s="20" t="s">
        <v>399</v>
      </c>
      <c r="BB90" s="91" t="s">
        <v>139</v>
      </c>
      <c r="BC90" s="343" t="s">
        <v>28</v>
      </c>
      <c r="BD90" s="342"/>
    </row>
    <row r="91" spans="1:56" s="289" customFormat="1" ht="18.75" customHeight="1">
      <c r="A91" s="20" t="s">
        <v>400</v>
      </c>
      <c r="B91" s="91" t="s">
        <v>73</v>
      </c>
      <c r="C91" s="343" t="s">
        <v>257</v>
      </c>
      <c r="D91" s="239">
        <f t="shared" si="3"/>
        <v>12</v>
      </c>
      <c r="E91" s="20" t="s">
        <v>400</v>
      </c>
      <c r="F91" s="91" t="s">
        <v>73</v>
      </c>
      <c r="G91" s="85" t="s">
        <v>70</v>
      </c>
      <c r="H91" s="344"/>
      <c r="I91" s="20" t="s">
        <v>400</v>
      </c>
      <c r="J91" s="91" t="s">
        <v>73</v>
      </c>
      <c r="K91" s="343" t="s">
        <v>70</v>
      </c>
      <c r="L91" s="342"/>
      <c r="M91" s="20" t="s">
        <v>400</v>
      </c>
      <c r="N91" s="91" t="s">
        <v>73</v>
      </c>
      <c r="O91" s="85" t="s">
        <v>70</v>
      </c>
      <c r="P91" s="288">
        <v>4</v>
      </c>
      <c r="Q91" s="20" t="s">
        <v>400</v>
      </c>
      <c r="R91" s="91" t="s">
        <v>73</v>
      </c>
      <c r="S91" s="343"/>
      <c r="T91" s="342"/>
      <c r="U91" s="20" t="s">
        <v>400</v>
      </c>
      <c r="V91" s="91" t="s">
        <v>73</v>
      </c>
      <c r="W91" s="343"/>
      <c r="X91" s="342"/>
      <c r="Y91" s="20" t="s">
        <v>400</v>
      </c>
      <c r="Z91" s="91" t="s">
        <v>73</v>
      </c>
      <c r="AA91" s="343" t="s">
        <v>257</v>
      </c>
      <c r="AB91" s="342"/>
      <c r="AC91" s="20" t="s">
        <v>400</v>
      </c>
      <c r="AD91" s="91" t="s">
        <v>73</v>
      </c>
      <c r="AE91" s="343" t="s">
        <v>257</v>
      </c>
      <c r="AF91" s="288">
        <v>4</v>
      </c>
      <c r="AG91" s="20" t="s">
        <v>400</v>
      </c>
      <c r="AH91" s="91" t="s">
        <v>73</v>
      </c>
      <c r="AI91" s="343" t="s">
        <v>257</v>
      </c>
      <c r="AJ91" s="288">
        <v>4</v>
      </c>
      <c r="AK91" s="20" t="s">
        <v>400</v>
      </c>
      <c r="AL91" s="91" t="s">
        <v>73</v>
      </c>
      <c r="AM91" s="343"/>
      <c r="AN91" s="342"/>
      <c r="AO91" s="20" t="s">
        <v>400</v>
      </c>
      <c r="AP91" s="91" t="s">
        <v>73</v>
      </c>
      <c r="AQ91" s="343"/>
      <c r="AR91" s="342"/>
      <c r="AS91" s="20" t="s">
        <v>400</v>
      </c>
      <c r="AT91" s="91" t="s">
        <v>73</v>
      </c>
      <c r="AU91" s="343"/>
      <c r="AV91" s="342"/>
      <c r="AW91" s="20" t="s">
        <v>400</v>
      </c>
      <c r="AX91" s="91" t="s">
        <v>73</v>
      </c>
      <c r="AY91" s="343"/>
      <c r="AZ91" s="342"/>
      <c r="BA91" s="20" t="s">
        <v>400</v>
      </c>
      <c r="BB91" s="91" t="s">
        <v>73</v>
      </c>
      <c r="BC91" s="343"/>
      <c r="BD91" s="342"/>
    </row>
    <row r="92" spans="1:56" s="289" customFormat="1" ht="18.75" customHeight="1" hidden="1">
      <c r="A92" s="20" t="s">
        <v>219</v>
      </c>
      <c r="B92" s="91" t="s">
        <v>67</v>
      </c>
      <c r="C92" s="343" t="s">
        <v>13</v>
      </c>
      <c r="D92" s="673">
        <f t="shared" si="3"/>
        <v>0</v>
      </c>
      <c r="E92" s="20" t="s">
        <v>219</v>
      </c>
      <c r="F92" s="91" t="s">
        <v>67</v>
      </c>
      <c r="G92" s="343" t="s">
        <v>13</v>
      </c>
      <c r="H92" s="344"/>
      <c r="I92" s="20" t="s">
        <v>219</v>
      </c>
      <c r="J92" s="91" t="s">
        <v>67</v>
      </c>
      <c r="K92" s="343" t="s">
        <v>13</v>
      </c>
      <c r="L92" s="342"/>
      <c r="M92" s="20" t="s">
        <v>219</v>
      </c>
      <c r="N92" s="91" t="s">
        <v>67</v>
      </c>
      <c r="O92" s="343" t="s">
        <v>13</v>
      </c>
      <c r="P92" s="342"/>
      <c r="Q92" s="20" t="s">
        <v>219</v>
      </c>
      <c r="R92" s="91" t="s">
        <v>67</v>
      </c>
      <c r="S92" s="343" t="s">
        <v>13</v>
      </c>
      <c r="T92" s="342"/>
      <c r="U92" s="20" t="s">
        <v>219</v>
      </c>
      <c r="V92" s="91" t="s">
        <v>67</v>
      </c>
      <c r="W92" s="343" t="s">
        <v>13</v>
      </c>
      <c r="X92" s="342"/>
      <c r="Y92" s="20" t="s">
        <v>219</v>
      </c>
      <c r="Z92" s="91" t="s">
        <v>67</v>
      </c>
      <c r="AA92" s="343" t="s">
        <v>13</v>
      </c>
      <c r="AB92" s="342"/>
      <c r="AC92" s="20" t="s">
        <v>219</v>
      </c>
      <c r="AD92" s="91" t="s">
        <v>67</v>
      </c>
      <c r="AE92" s="343" t="s">
        <v>13</v>
      </c>
      <c r="AF92" s="342"/>
      <c r="AG92" s="20" t="s">
        <v>219</v>
      </c>
      <c r="AH92" s="91" t="s">
        <v>67</v>
      </c>
      <c r="AI92" s="343" t="s">
        <v>13</v>
      </c>
      <c r="AJ92" s="342"/>
      <c r="AK92" s="20" t="s">
        <v>219</v>
      </c>
      <c r="AL92" s="91" t="s">
        <v>67</v>
      </c>
      <c r="AM92" s="343" t="s">
        <v>13</v>
      </c>
      <c r="AN92" s="342"/>
      <c r="AO92" s="20" t="s">
        <v>219</v>
      </c>
      <c r="AP92" s="91" t="s">
        <v>67</v>
      </c>
      <c r="AQ92" s="343" t="s">
        <v>13</v>
      </c>
      <c r="AR92" s="342"/>
      <c r="AS92" s="20" t="s">
        <v>219</v>
      </c>
      <c r="AT92" s="91" t="s">
        <v>67</v>
      </c>
      <c r="AU92" s="343" t="s">
        <v>13</v>
      </c>
      <c r="AV92" s="342"/>
      <c r="AW92" s="20" t="s">
        <v>219</v>
      </c>
      <c r="AX92" s="91" t="s">
        <v>67</v>
      </c>
      <c r="AY92" s="343" t="s">
        <v>13</v>
      </c>
      <c r="AZ92" s="342"/>
      <c r="BA92" s="20" t="s">
        <v>219</v>
      </c>
      <c r="BB92" s="91" t="s">
        <v>67</v>
      </c>
      <c r="BC92" s="343" t="s">
        <v>13</v>
      </c>
      <c r="BD92" s="342"/>
    </row>
    <row r="93" spans="1:56" s="69" customFormat="1" ht="18.75" customHeight="1">
      <c r="A93" s="20" t="s">
        <v>401</v>
      </c>
      <c r="B93" s="110" t="s">
        <v>372</v>
      </c>
      <c r="C93" s="111" t="s">
        <v>10</v>
      </c>
      <c r="D93" s="239">
        <f t="shared" si="3"/>
        <v>6</v>
      </c>
      <c r="E93" s="20" t="s">
        <v>401</v>
      </c>
      <c r="F93" s="110" t="s">
        <v>372</v>
      </c>
      <c r="G93" s="111" t="s">
        <v>10</v>
      </c>
      <c r="H93" s="319"/>
      <c r="I93" s="20" t="s">
        <v>401</v>
      </c>
      <c r="J93" s="110" t="s">
        <v>68</v>
      </c>
      <c r="K93" s="111" t="s">
        <v>10</v>
      </c>
      <c r="L93" s="139"/>
      <c r="M93" s="20" t="s">
        <v>401</v>
      </c>
      <c r="N93" s="110" t="s">
        <v>372</v>
      </c>
      <c r="O93" s="111" t="s">
        <v>10</v>
      </c>
      <c r="P93" s="139"/>
      <c r="Q93" s="20" t="s">
        <v>401</v>
      </c>
      <c r="R93" s="110" t="s">
        <v>372</v>
      </c>
      <c r="S93" s="111" t="s">
        <v>10</v>
      </c>
      <c r="T93" s="112">
        <v>1</v>
      </c>
      <c r="U93" s="20" t="s">
        <v>401</v>
      </c>
      <c r="V93" s="110" t="s">
        <v>372</v>
      </c>
      <c r="W93" s="111" t="s">
        <v>10</v>
      </c>
      <c r="X93" s="112">
        <v>1</v>
      </c>
      <c r="Y93" s="20" t="s">
        <v>401</v>
      </c>
      <c r="Z93" s="110" t="s">
        <v>372</v>
      </c>
      <c r="AA93" s="111" t="s">
        <v>10</v>
      </c>
      <c r="AB93" s="112"/>
      <c r="AC93" s="20" t="s">
        <v>401</v>
      </c>
      <c r="AD93" s="110" t="s">
        <v>372</v>
      </c>
      <c r="AE93" s="111" t="s">
        <v>10</v>
      </c>
      <c r="AF93" s="139"/>
      <c r="AG93" s="20" t="s">
        <v>401</v>
      </c>
      <c r="AH93" s="110" t="s">
        <v>372</v>
      </c>
      <c r="AI93" s="111" t="s">
        <v>10</v>
      </c>
      <c r="AJ93" s="112">
        <v>2</v>
      </c>
      <c r="AK93" s="20" t="s">
        <v>401</v>
      </c>
      <c r="AL93" s="110" t="s">
        <v>372</v>
      </c>
      <c r="AM93" s="111" t="s">
        <v>10</v>
      </c>
      <c r="AN93" s="112"/>
      <c r="AO93" s="20" t="s">
        <v>401</v>
      </c>
      <c r="AP93" s="110" t="s">
        <v>372</v>
      </c>
      <c r="AQ93" s="111" t="s">
        <v>10</v>
      </c>
      <c r="AR93" s="112">
        <v>1</v>
      </c>
      <c r="AS93" s="20" t="s">
        <v>401</v>
      </c>
      <c r="AT93" s="110" t="s">
        <v>372</v>
      </c>
      <c r="AU93" s="111" t="s">
        <v>10</v>
      </c>
      <c r="AV93" s="139"/>
      <c r="AW93" s="20" t="s">
        <v>401</v>
      </c>
      <c r="AX93" s="110" t="s">
        <v>372</v>
      </c>
      <c r="AY93" s="111" t="s">
        <v>10</v>
      </c>
      <c r="AZ93" s="112">
        <v>1</v>
      </c>
      <c r="BA93" s="20" t="s">
        <v>401</v>
      </c>
      <c r="BB93" s="110" t="s">
        <v>372</v>
      </c>
      <c r="BC93" s="111" t="s">
        <v>10</v>
      </c>
      <c r="BD93" s="139"/>
    </row>
    <row r="94" spans="1:56" ht="18.75">
      <c r="A94" s="20" t="s">
        <v>402</v>
      </c>
      <c r="B94" s="84" t="s">
        <v>50</v>
      </c>
      <c r="C94" s="85" t="s">
        <v>25</v>
      </c>
      <c r="D94" s="239">
        <f t="shared" si="3"/>
        <v>0</v>
      </c>
      <c r="E94" s="20" t="s">
        <v>402</v>
      </c>
      <c r="F94" s="84" t="s">
        <v>50</v>
      </c>
      <c r="G94" s="85" t="s">
        <v>25</v>
      </c>
      <c r="H94" s="100"/>
      <c r="I94" s="20" t="s">
        <v>402</v>
      </c>
      <c r="J94" s="84" t="s">
        <v>50</v>
      </c>
      <c r="K94" s="85" t="s">
        <v>25</v>
      </c>
      <c r="L94" s="99"/>
      <c r="M94" s="20" t="s">
        <v>402</v>
      </c>
      <c r="N94" s="84" t="s">
        <v>50</v>
      </c>
      <c r="O94" s="85" t="s">
        <v>25</v>
      </c>
      <c r="P94" s="99"/>
      <c r="Q94" s="20" t="s">
        <v>402</v>
      </c>
      <c r="R94" s="84" t="s">
        <v>50</v>
      </c>
      <c r="S94" s="85" t="s">
        <v>25</v>
      </c>
      <c r="T94" s="99"/>
      <c r="U94" s="20" t="s">
        <v>402</v>
      </c>
      <c r="V94" s="84" t="s">
        <v>50</v>
      </c>
      <c r="W94" s="85" t="s">
        <v>25</v>
      </c>
      <c r="X94" s="99"/>
      <c r="Y94" s="20" t="s">
        <v>402</v>
      </c>
      <c r="Z94" s="84" t="s">
        <v>50</v>
      </c>
      <c r="AA94" s="85" t="s">
        <v>25</v>
      </c>
      <c r="AB94" s="99"/>
      <c r="AC94" s="20" t="s">
        <v>402</v>
      </c>
      <c r="AD94" s="84" t="s">
        <v>50</v>
      </c>
      <c r="AE94" s="85" t="s">
        <v>25</v>
      </c>
      <c r="AF94" s="99"/>
      <c r="AG94" s="20" t="s">
        <v>402</v>
      </c>
      <c r="AH94" s="84" t="s">
        <v>50</v>
      </c>
      <c r="AI94" s="85" t="s">
        <v>25</v>
      </c>
      <c r="AJ94" s="99"/>
      <c r="AK94" s="20" t="s">
        <v>402</v>
      </c>
      <c r="AL94" s="84" t="s">
        <v>50</v>
      </c>
      <c r="AM94" s="85" t="s">
        <v>25</v>
      </c>
      <c r="AN94" s="99"/>
      <c r="AO94" s="20" t="s">
        <v>402</v>
      </c>
      <c r="AP94" s="84" t="s">
        <v>50</v>
      </c>
      <c r="AQ94" s="85" t="s">
        <v>25</v>
      </c>
      <c r="AR94" s="99"/>
      <c r="AS94" s="20" t="s">
        <v>402</v>
      </c>
      <c r="AT94" s="84" t="s">
        <v>50</v>
      </c>
      <c r="AU94" s="85" t="s">
        <v>25</v>
      </c>
      <c r="AV94" s="99"/>
      <c r="AW94" s="20" t="s">
        <v>402</v>
      </c>
      <c r="AX94" s="84" t="s">
        <v>50</v>
      </c>
      <c r="AY94" s="85" t="s">
        <v>25</v>
      </c>
      <c r="AZ94" s="99"/>
      <c r="BA94" s="20" t="s">
        <v>402</v>
      </c>
      <c r="BB94" s="84" t="s">
        <v>50</v>
      </c>
      <c r="BC94" s="85" t="s">
        <v>25</v>
      </c>
      <c r="BD94" s="99"/>
    </row>
    <row r="95" spans="1:56" ht="18.75">
      <c r="A95" s="20" t="s">
        <v>403</v>
      </c>
      <c r="B95" s="84" t="s">
        <v>51</v>
      </c>
      <c r="C95" s="85" t="s">
        <v>10</v>
      </c>
      <c r="D95" s="239">
        <f t="shared" si="3"/>
        <v>0</v>
      </c>
      <c r="E95" s="20" t="s">
        <v>403</v>
      </c>
      <c r="F95" s="84" t="s">
        <v>51</v>
      </c>
      <c r="G95" s="85" t="s">
        <v>10</v>
      </c>
      <c r="H95" s="101"/>
      <c r="I95" s="20" t="s">
        <v>403</v>
      </c>
      <c r="J95" s="84" t="s">
        <v>51</v>
      </c>
      <c r="K95" s="85" t="s">
        <v>10</v>
      </c>
      <c r="L95" s="109"/>
      <c r="M95" s="20" t="s">
        <v>403</v>
      </c>
      <c r="N95" s="84" t="s">
        <v>51</v>
      </c>
      <c r="O95" s="85" t="s">
        <v>10</v>
      </c>
      <c r="P95" s="109"/>
      <c r="Q95" s="20" t="s">
        <v>403</v>
      </c>
      <c r="R95" s="84" t="s">
        <v>51</v>
      </c>
      <c r="S95" s="85" t="s">
        <v>10</v>
      </c>
      <c r="T95" s="109"/>
      <c r="U95" s="20" t="s">
        <v>403</v>
      </c>
      <c r="V95" s="84" t="s">
        <v>51</v>
      </c>
      <c r="W95" s="85" t="s">
        <v>10</v>
      </c>
      <c r="X95" s="109"/>
      <c r="Y95" s="20" t="s">
        <v>403</v>
      </c>
      <c r="Z95" s="84" t="s">
        <v>51</v>
      </c>
      <c r="AA95" s="85" t="s">
        <v>10</v>
      </c>
      <c r="AB95" s="109"/>
      <c r="AC95" s="20" t="s">
        <v>403</v>
      </c>
      <c r="AD95" s="84" t="s">
        <v>51</v>
      </c>
      <c r="AE95" s="85" t="s">
        <v>10</v>
      </c>
      <c r="AF95" s="109"/>
      <c r="AG95" s="20" t="s">
        <v>403</v>
      </c>
      <c r="AH95" s="84" t="s">
        <v>51</v>
      </c>
      <c r="AI95" s="85" t="s">
        <v>10</v>
      </c>
      <c r="AJ95" s="109"/>
      <c r="AK95" s="20" t="s">
        <v>403</v>
      </c>
      <c r="AL95" s="84" t="s">
        <v>51</v>
      </c>
      <c r="AM95" s="85" t="s">
        <v>10</v>
      </c>
      <c r="AN95" s="109"/>
      <c r="AO95" s="20" t="s">
        <v>403</v>
      </c>
      <c r="AP95" s="84" t="s">
        <v>51</v>
      </c>
      <c r="AQ95" s="85" t="s">
        <v>10</v>
      </c>
      <c r="AR95" s="109"/>
      <c r="AS95" s="20" t="s">
        <v>403</v>
      </c>
      <c r="AT95" s="84" t="s">
        <v>51</v>
      </c>
      <c r="AU95" s="85" t="s">
        <v>10</v>
      </c>
      <c r="AV95" s="109"/>
      <c r="AW95" s="20" t="s">
        <v>403</v>
      </c>
      <c r="AX95" s="84" t="s">
        <v>51</v>
      </c>
      <c r="AY95" s="85" t="s">
        <v>10</v>
      </c>
      <c r="AZ95" s="109"/>
      <c r="BA95" s="20" t="s">
        <v>403</v>
      </c>
      <c r="BB95" s="84" t="s">
        <v>51</v>
      </c>
      <c r="BC95" s="85" t="s">
        <v>10</v>
      </c>
      <c r="BD95" s="109"/>
    </row>
    <row r="96" spans="1:56" ht="18.75">
      <c r="A96" s="20" t="s">
        <v>404</v>
      </c>
      <c r="B96" s="84" t="s">
        <v>53</v>
      </c>
      <c r="C96" s="85" t="s">
        <v>70</v>
      </c>
      <c r="D96" s="239">
        <f t="shared" si="3"/>
        <v>47</v>
      </c>
      <c r="E96" s="20" t="s">
        <v>404</v>
      </c>
      <c r="F96" s="84" t="s">
        <v>53</v>
      </c>
      <c r="G96" s="85" t="s">
        <v>70</v>
      </c>
      <c r="H96" s="101">
        <f>4*0</f>
        <v>0</v>
      </c>
      <c r="I96" s="20" t="s">
        <v>404</v>
      </c>
      <c r="J96" s="84" t="s">
        <v>53</v>
      </c>
      <c r="K96" s="85" t="s">
        <v>70</v>
      </c>
      <c r="L96" s="101">
        <v>4</v>
      </c>
      <c r="M96" s="20" t="s">
        <v>404</v>
      </c>
      <c r="N96" s="84" t="s">
        <v>53</v>
      </c>
      <c r="O96" s="85" t="s">
        <v>70</v>
      </c>
      <c r="P96" s="101">
        <v>4</v>
      </c>
      <c r="Q96" s="20" t="s">
        <v>404</v>
      </c>
      <c r="R96" s="84" t="s">
        <v>53</v>
      </c>
      <c r="S96" s="85" t="s">
        <v>70</v>
      </c>
      <c r="T96" s="101">
        <v>4</v>
      </c>
      <c r="U96" s="20" t="s">
        <v>404</v>
      </c>
      <c r="V96" s="84" t="s">
        <v>53</v>
      </c>
      <c r="W96" s="85" t="s">
        <v>70</v>
      </c>
      <c r="X96" s="101">
        <v>5</v>
      </c>
      <c r="Y96" s="20" t="s">
        <v>404</v>
      </c>
      <c r="Z96" s="84" t="s">
        <v>53</v>
      </c>
      <c r="AA96" s="85" t="s">
        <v>70</v>
      </c>
      <c r="AB96" s="101">
        <v>5</v>
      </c>
      <c r="AC96" s="20" t="s">
        <v>404</v>
      </c>
      <c r="AD96" s="84" t="s">
        <v>53</v>
      </c>
      <c r="AE96" s="85" t="s">
        <v>70</v>
      </c>
      <c r="AF96" s="101">
        <v>2</v>
      </c>
      <c r="AG96" s="20" t="s">
        <v>404</v>
      </c>
      <c r="AH96" s="84" t="s">
        <v>53</v>
      </c>
      <c r="AI96" s="85" t="s">
        <v>70</v>
      </c>
      <c r="AJ96" s="101">
        <v>2</v>
      </c>
      <c r="AK96" s="20" t="s">
        <v>404</v>
      </c>
      <c r="AL96" s="84" t="s">
        <v>53</v>
      </c>
      <c r="AM96" s="85" t="s">
        <v>70</v>
      </c>
      <c r="AN96" s="101">
        <v>5</v>
      </c>
      <c r="AO96" s="20" t="s">
        <v>404</v>
      </c>
      <c r="AP96" s="84" t="s">
        <v>53</v>
      </c>
      <c r="AQ96" s="85" t="s">
        <v>70</v>
      </c>
      <c r="AR96" s="101">
        <v>4</v>
      </c>
      <c r="AS96" s="20" t="s">
        <v>404</v>
      </c>
      <c r="AT96" s="84" t="s">
        <v>53</v>
      </c>
      <c r="AU96" s="85" t="s">
        <v>70</v>
      </c>
      <c r="AV96" s="101">
        <v>4</v>
      </c>
      <c r="AW96" s="20" t="s">
        <v>404</v>
      </c>
      <c r="AX96" s="84" t="s">
        <v>53</v>
      </c>
      <c r="AY96" s="85" t="s">
        <v>70</v>
      </c>
      <c r="AZ96" s="101">
        <v>4</v>
      </c>
      <c r="BA96" s="20" t="s">
        <v>404</v>
      </c>
      <c r="BB96" s="84" t="s">
        <v>53</v>
      </c>
      <c r="BC96" s="85" t="s">
        <v>70</v>
      </c>
      <c r="BD96" s="101">
        <v>4</v>
      </c>
    </row>
    <row r="97" spans="1:56" ht="18.75">
      <c r="A97" s="20" t="s">
        <v>405</v>
      </c>
      <c r="B97" s="84" t="s">
        <v>54</v>
      </c>
      <c r="C97" s="85" t="s">
        <v>20</v>
      </c>
      <c r="D97" s="239">
        <f t="shared" si="3"/>
        <v>109</v>
      </c>
      <c r="E97" s="20" t="s">
        <v>405</v>
      </c>
      <c r="F97" s="84" t="s">
        <v>54</v>
      </c>
      <c r="G97" s="85" t="s">
        <v>20</v>
      </c>
      <c r="H97" s="101">
        <v>8</v>
      </c>
      <c r="I97" s="20" t="s">
        <v>405</v>
      </c>
      <c r="J97" s="84" t="s">
        <v>54</v>
      </c>
      <c r="K97" s="85" t="s">
        <v>20</v>
      </c>
      <c r="L97" s="101">
        <v>15</v>
      </c>
      <c r="M97" s="20" t="s">
        <v>405</v>
      </c>
      <c r="N97" s="84" t="s">
        <v>54</v>
      </c>
      <c r="O97" s="85" t="s">
        <v>20</v>
      </c>
      <c r="P97" s="101">
        <v>15</v>
      </c>
      <c r="Q97" s="20" t="s">
        <v>405</v>
      </c>
      <c r="R97" s="84" t="s">
        <v>54</v>
      </c>
      <c r="S97" s="85" t="s">
        <v>20</v>
      </c>
      <c r="T97" s="101">
        <v>15</v>
      </c>
      <c r="U97" s="20" t="s">
        <v>405</v>
      </c>
      <c r="V97" s="84" t="s">
        <v>54</v>
      </c>
      <c r="W97" s="85" t="s">
        <v>20</v>
      </c>
      <c r="X97" s="101">
        <v>15</v>
      </c>
      <c r="Y97" s="20" t="s">
        <v>405</v>
      </c>
      <c r="Z97" s="84" t="s">
        <v>54</v>
      </c>
      <c r="AA97" s="85" t="s">
        <v>20</v>
      </c>
      <c r="AB97" s="101"/>
      <c r="AC97" s="20" t="s">
        <v>405</v>
      </c>
      <c r="AD97" s="84" t="s">
        <v>54</v>
      </c>
      <c r="AE97" s="85" t="s">
        <v>20</v>
      </c>
      <c r="AF97" s="101"/>
      <c r="AG97" s="20" t="s">
        <v>405</v>
      </c>
      <c r="AH97" s="84" t="s">
        <v>54</v>
      </c>
      <c r="AI97" s="85" t="s">
        <v>20</v>
      </c>
      <c r="AJ97" s="101"/>
      <c r="AK97" s="20" t="s">
        <v>405</v>
      </c>
      <c r="AL97" s="84" t="s">
        <v>54</v>
      </c>
      <c r="AM97" s="85" t="s">
        <v>20</v>
      </c>
      <c r="AN97" s="101">
        <v>13</v>
      </c>
      <c r="AO97" s="20" t="s">
        <v>405</v>
      </c>
      <c r="AP97" s="84" t="s">
        <v>54</v>
      </c>
      <c r="AQ97" s="85" t="s">
        <v>20</v>
      </c>
      <c r="AR97" s="101"/>
      <c r="AS97" s="20" t="s">
        <v>405</v>
      </c>
      <c r="AT97" s="84" t="s">
        <v>54</v>
      </c>
      <c r="AU97" s="85" t="s">
        <v>20</v>
      </c>
      <c r="AV97" s="101">
        <v>7</v>
      </c>
      <c r="AW97" s="20" t="s">
        <v>405</v>
      </c>
      <c r="AX97" s="84" t="s">
        <v>54</v>
      </c>
      <c r="AY97" s="85" t="s">
        <v>20</v>
      </c>
      <c r="AZ97" s="101">
        <v>14</v>
      </c>
      <c r="BA97" s="20" t="s">
        <v>405</v>
      </c>
      <c r="BB97" s="84" t="s">
        <v>54</v>
      </c>
      <c r="BC97" s="85" t="s">
        <v>20</v>
      </c>
      <c r="BD97" s="101">
        <v>7</v>
      </c>
    </row>
    <row r="98" spans="1:56" ht="18.75" hidden="1">
      <c r="A98" s="20" t="s">
        <v>406</v>
      </c>
      <c r="B98" s="84" t="s">
        <v>56</v>
      </c>
      <c r="C98" s="85" t="s">
        <v>20</v>
      </c>
      <c r="D98" s="239">
        <f t="shared" si="3"/>
        <v>0</v>
      </c>
      <c r="E98" s="20" t="s">
        <v>406</v>
      </c>
      <c r="F98" s="84" t="s">
        <v>56</v>
      </c>
      <c r="G98" s="85" t="s">
        <v>20</v>
      </c>
      <c r="H98" s="101"/>
      <c r="I98" s="20" t="s">
        <v>406</v>
      </c>
      <c r="J98" s="84" t="s">
        <v>56</v>
      </c>
      <c r="K98" s="85" t="s">
        <v>20</v>
      </c>
      <c r="L98" s="101"/>
      <c r="M98" s="20" t="s">
        <v>406</v>
      </c>
      <c r="N98" s="84" t="s">
        <v>56</v>
      </c>
      <c r="O98" s="85" t="s">
        <v>20</v>
      </c>
      <c r="P98" s="101"/>
      <c r="Q98" s="20" t="s">
        <v>406</v>
      </c>
      <c r="R98" s="84" t="s">
        <v>56</v>
      </c>
      <c r="S98" s="85" t="s">
        <v>20</v>
      </c>
      <c r="T98" s="101"/>
      <c r="U98" s="20" t="s">
        <v>406</v>
      </c>
      <c r="V98" s="84" t="s">
        <v>56</v>
      </c>
      <c r="W98" s="85" t="s">
        <v>20</v>
      </c>
      <c r="X98" s="101"/>
      <c r="Y98" s="20" t="s">
        <v>406</v>
      </c>
      <c r="Z98" s="84" t="s">
        <v>56</v>
      </c>
      <c r="AA98" s="85" t="s">
        <v>20</v>
      </c>
      <c r="AB98" s="101"/>
      <c r="AC98" s="20" t="s">
        <v>406</v>
      </c>
      <c r="AD98" s="84" t="s">
        <v>56</v>
      </c>
      <c r="AE98" s="85" t="s">
        <v>20</v>
      </c>
      <c r="AF98" s="101"/>
      <c r="AG98" s="20" t="s">
        <v>406</v>
      </c>
      <c r="AH98" s="84" t="s">
        <v>56</v>
      </c>
      <c r="AI98" s="85" t="s">
        <v>20</v>
      </c>
      <c r="AJ98" s="101"/>
      <c r="AK98" s="20" t="s">
        <v>406</v>
      </c>
      <c r="AL98" s="84" t="s">
        <v>56</v>
      </c>
      <c r="AM98" s="85" t="s">
        <v>20</v>
      </c>
      <c r="AN98" s="101"/>
      <c r="AO98" s="20" t="s">
        <v>406</v>
      </c>
      <c r="AP98" s="84" t="s">
        <v>56</v>
      </c>
      <c r="AQ98" s="85" t="s">
        <v>20</v>
      </c>
      <c r="AR98" s="101"/>
      <c r="AS98" s="20" t="s">
        <v>406</v>
      </c>
      <c r="AT98" s="84" t="s">
        <v>56</v>
      </c>
      <c r="AU98" s="85" t="s">
        <v>20</v>
      </c>
      <c r="AV98" s="101"/>
      <c r="AW98" s="20" t="s">
        <v>406</v>
      </c>
      <c r="AX98" s="84" t="s">
        <v>56</v>
      </c>
      <c r="AY98" s="85" t="s">
        <v>20</v>
      </c>
      <c r="AZ98" s="101"/>
      <c r="BA98" s="20" t="s">
        <v>406</v>
      </c>
      <c r="BB98" s="84" t="s">
        <v>56</v>
      </c>
      <c r="BC98" s="85" t="s">
        <v>20</v>
      </c>
      <c r="BD98" s="101"/>
    </row>
    <row r="99" spans="1:56" s="69" customFormat="1" ht="18.75" customHeight="1">
      <c r="A99" s="20" t="s">
        <v>407</v>
      </c>
      <c r="B99" s="110" t="s">
        <v>210</v>
      </c>
      <c r="C99" s="85" t="s">
        <v>25</v>
      </c>
      <c r="D99" s="239">
        <f t="shared" si="3"/>
        <v>0</v>
      </c>
      <c r="E99" s="20" t="s">
        <v>407</v>
      </c>
      <c r="F99" s="110" t="s">
        <v>210</v>
      </c>
      <c r="G99" s="111" t="s">
        <v>212</v>
      </c>
      <c r="H99" s="319">
        <f>15/$C$9*G9*0</f>
        <v>0</v>
      </c>
      <c r="I99" s="20" t="s">
        <v>407</v>
      </c>
      <c r="J99" s="110" t="s">
        <v>210</v>
      </c>
      <c r="K99" s="111" t="s">
        <v>212</v>
      </c>
      <c r="L99" s="319"/>
      <c r="M99" s="20" t="s">
        <v>407</v>
      </c>
      <c r="N99" s="110" t="s">
        <v>210</v>
      </c>
      <c r="O99" s="111" t="s">
        <v>212</v>
      </c>
      <c r="P99" s="319"/>
      <c r="Q99" s="20" t="s">
        <v>407</v>
      </c>
      <c r="R99" s="110" t="s">
        <v>210</v>
      </c>
      <c r="S99" s="111" t="s">
        <v>212</v>
      </c>
      <c r="T99" s="319"/>
      <c r="U99" s="20" t="s">
        <v>407</v>
      </c>
      <c r="V99" s="110" t="s">
        <v>210</v>
      </c>
      <c r="W99" s="111" t="s">
        <v>212</v>
      </c>
      <c r="X99" s="319"/>
      <c r="Y99" s="20" t="s">
        <v>407</v>
      </c>
      <c r="Z99" s="110" t="s">
        <v>210</v>
      </c>
      <c r="AA99" s="111" t="s">
        <v>212</v>
      </c>
      <c r="AB99" s="319"/>
      <c r="AC99" s="20" t="s">
        <v>407</v>
      </c>
      <c r="AD99" s="110" t="s">
        <v>210</v>
      </c>
      <c r="AE99" s="111" t="s">
        <v>212</v>
      </c>
      <c r="AF99" s="319"/>
      <c r="AG99" s="20" t="s">
        <v>407</v>
      </c>
      <c r="AH99" s="110" t="s">
        <v>210</v>
      </c>
      <c r="AI99" s="111" t="s">
        <v>212</v>
      </c>
      <c r="AJ99" s="319"/>
      <c r="AK99" s="20" t="s">
        <v>407</v>
      </c>
      <c r="AL99" s="110" t="s">
        <v>210</v>
      </c>
      <c r="AM99" s="111" t="s">
        <v>13</v>
      </c>
      <c r="AN99" s="319"/>
      <c r="AO99" s="20" t="s">
        <v>407</v>
      </c>
      <c r="AP99" s="110" t="s">
        <v>210</v>
      </c>
      <c r="AQ99" s="111" t="s">
        <v>13</v>
      </c>
      <c r="AR99" s="319"/>
      <c r="AS99" s="20" t="s">
        <v>407</v>
      </c>
      <c r="AT99" s="110" t="s">
        <v>210</v>
      </c>
      <c r="AU99" s="111" t="s">
        <v>13</v>
      </c>
      <c r="AV99" s="138"/>
      <c r="AW99" s="20" t="s">
        <v>407</v>
      </c>
      <c r="AX99" s="110" t="s">
        <v>210</v>
      </c>
      <c r="AY99" s="111" t="s">
        <v>212</v>
      </c>
      <c r="AZ99" s="319"/>
      <c r="BA99" s="20" t="s">
        <v>407</v>
      </c>
      <c r="BB99" s="110" t="s">
        <v>210</v>
      </c>
      <c r="BC99" s="111" t="s">
        <v>212</v>
      </c>
      <c r="BD99" s="319"/>
    </row>
    <row r="100" spans="1:56" ht="18.75" hidden="1">
      <c r="A100" s="20" t="s">
        <v>161</v>
      </c>
      <c r="B100" s="406" t="s">
        <v>374</v>
      </c>
      <c r="C100" s="85" t="s">
        <v>25</v>
      </c>
      <c r="D100" s="239">
        <f t="shared" si="3"/>
        <v>0</v>
      </c>
      <c r="E100" s="20" t="s">
        <v>161</v>
      </c>
      <c r="F100" s="406" t="s">
        <v>374</v>
      </c>
      <c r="G100" s="85" t="s">
        <v>20</v>
      </c>
      <c r="H100" s="100"/>
      <c r="I100" s="20" t="s">
        <v>161</v>
      </c>
      <c r="J100" s="406" t="s">
        <v>374</v>
      </c>
      <c r="K100" s="85" t="s">
        <v>20</v>
      </c>
      <c r="L100" s="99"/>
      <c r="M100" s="20" t="s">
        <v>161</v>
      </c>
      <c r="N100" s="406" t="s">
        <v>374</v>
      </c>
      <c r="O100" s="85" t="s">
        <v>20</v>
      </c>
      <c r="P100" s="99"/>
      <c r="Q100" s="20" t="s">
        <v>161</v>
      </c>
      <c r="R100" s="406" t="s">
        <v>374</v>
      </c>
      <c r="S100" s="85" t="s">
        <v>20</v>
      </c>
      <c r="T100" s="112"/>
      <c r="U100" s="20" t="s">
        <v>161</v>
      </c>
      <c r="V100" s="406" t="s">
        <v>374</v>
      </c>
      <c r="W100" s="85" t="s">
        <v>20</v>
      </c>
      <c r="X100" s="109"/>
      <c r="Y100" s="20" t="s">
        <v>161</v>
      </c>
      <c r="Z100" s="406" t="s">
        <v>374</v>
      </c>
      <c r="AA100" s="85" t="s">
        <v>20</v>
      </c>
      <c r="AB100" s="99"/>
      <c r="AC100" s="20" t="s">
        <v>161</v>
      </c>
      <c r="AD100" s="406" t="s">
        <v>374</v>
      </c>
      <c r="AE100" s="85" t="s">
        <v>20</v>
      </c>
      <c r="AF100" s="99"/>
      <c r="AG100" s="20" t="s">
        <v>161</v>
      </c>
      <c r="AH100" s="406" t="s">
        <v>374</v>
      </c>
      <c r="AI100" s="85" t="s">
        <v>20</v>
      </c>
      <c r="AJ100" s="99"/>
      <c r="AK100" s="20" t="s">
        <v>161</v>
      </c>
      <c r="AL100" s="406" t="s">
        <v>374</v>
      </c>
      <c r="AM100" s="85" t="s">
        <v>20</v>
      </c>
      <c r="AN100" s="101"/>
      <c r="AO100" s="20" t="s">
        <v>161</v>
      </c>
      <c r="AP100" s="406" t="s">
        <v>374</v>
      </c>
      <c r="AQ100" s="85" t="s">
        <v>20</v>
      </c>
      <c r="AR100" s="101"/>
      <c r="AS100" s="20" t="s">
        <v>161</v>
      </c>
      <c r="AT100" s="406" t="s">
        <v>374</v>
      </c>
      <c r="AU100" s="85" t="s">
        <v>20</v>
      </c>
      <c r="AV100" s="99"/>
      <c r="AW100" s="20" t="s">
        <v>161</v>
      </c>
      <c r="AX100" s="406" t="s">
        <v>374</v>
      </c>
      <c r="AY100" s="85" t="s">
        <v>20</v>
      </c>
      <c r="AZ100" s="100"/>
      <c r="BA100" s="20" t="s">
        <v>161</v>
      </c>
      <c r="BB100" s="406" t="s">
        <v>374</v>
      </c>
      <c r="BC100" s="85" t="s">
        <v>20</v>
      </c>
      <c r="BD100" s="99"/>
    </row>
    <row r="101" spans="1:56" ht="18.75">
      <c r="A101" s="20" t="s">
        <v>408</v>
      </c>
      <c r="B101" s="84" t="s">
        <v>259</v>
      </c>
      <c r="C101" s="85" t="s">
        <v>25</v>
      </c>
      <c r="D101" s="229"/>
      <c r="E101" s="20" t="s">
        <v>408</v>
      </c>
      <c r="F101" s="84" t="s">
        <v>259</v>
      </c>
      <c r="G101" s="85" t="s">
        <v>25</v>
      </c>
      <c r="H101" s="100"/>
      <c r="I101" s="20" t="s">
        <v>408</v>
      </c>
      <c r="J101" s="84" t="s">
        <v>259</v>
      </c>
      <c r="K101" s="85" t="s">
        <v>25</v>
      </c>
      <c r="L101" s="99"/>
      <c r="M101" s="20" t="s">
        <v>408</v>
      </c>
      <c r="N101" s="84" t="s">
        <v>259</v>
      </c>
      <c r="O101" s="85" t="s">
        <v>25</v>
      </c>
      <c r="P101" s="99"/>
      <c r="Q101" s="20" t="s">
        <v>408</v>
      </c>
      <c r="R101" s="84" t="s">
        <v>259</v>
      </c>
      <c r="S101" s="85" t="s">
        <v>25</v>
      </c>
      <c r="T101" s="99"/>
      <c r="U101" s="20" t="s">
        <v>408</v>
      </c>
      <c r="V101" s="84" t="s">
        <v>259</v>
      </c>
      <c r="W101" s="85" t="s">
        <v>25</v>
      </c>
      <c r="X101" s="99"/>
      <c r="Y101" s="20" t="s">
        <v>408</v>
      </c>
      <c r="Z101" s="84" t="s">
        <v>376</v>
      </c>
      <c r="AA101" s="85" t="s">
        <v>25</v>
      </c>
      <c r="AB101" s="99"/>
      <c r="AC101" s="20" t="s">
        <v>408</v>
      </c>
      <c r="AD101" s="84" t="s">
        <v>259</v>
      </c>
      <c r="AE101" s="85" t="s">
        <v>25</v>
      </c>
      <c r="AF101" s="99"/>
      <c r="AG101" s="20" t="s">
        <v>408</v>
      </c>
      <c r="AH101" s="84" t="s">
        <v>259</v>
      </c>
      <c r="AI101" s="85" t="s">
        <v>25</v>
      </c>
      <c r="AJ101" s="99"/>
      <c r="AK101" s="20" t="s">
        <v>408</v>
      </c>
      <c r="AL101" s="84" t="s">
        <v>376</v>
      </c>
      <c r="AM101" s="85" t="s">
        <v>25</v>
      </c>
      <c r="AN101" s="99"/>
      <c r="AO101" s="20" t="s">
        <v>408</v>
      </c>
      <c r="AP101" s="84" t="s">
        <v>259</v>
      </c>
      <c r="AQ101" s="85" t="s">
        <v>25</v>
      </c>
      <c r="AR101" s="99"/>
      <c r="AS101" s="20" t="s">
        <v>408</v>
      </c>
      <c r="AT101" s="84" t="s">
        <v>259</v>
      </c>
      <c r="AU101" s="85" t="s">
        <v>25</v>
      </c>
      <c r="AV101" s="99"/>
      <c r="AW101" s="20" t="s">
        <v>408</v>
      </c>
      <c r="AX101" s="84" t="s">
        <v>259</v>
      </c>
      <c r="AY101" s="85" t="s">
        <v>25</v>
      </c>
      <c r="AZ101" s="99"/>
      <c r="BA101" s="20" t="s">
        <v>408</v>
      </c>
      <c r="BB101" s="84" t="s">
        <v>259</v>
      </c>
      <c r="BC101" s="85" t="s">
        <v>25</v>
      </c>
      <c r="BD101" s="99"/>
    </row>
    <row r="102" spans="1:57" ht="18.75">
      <c r="A102" s="39"/>
      <c r="B102" s="103" t="s">
        <v>216</v>
      </c>
      <c r="C102" s="104"/>
      <c r="D102" s="236"/>
      <c r="E102" s="39"/>
      <c r="F102" s="103" t="s">
        <v>216</v>
      </c>
      <c r="G102" s="104"/>
      <c r="H102" s="107"/>
      <c r="I102" s="39"/>
      <c r="J102" s="103" t="s">
        <v>216</v>
      </c>
      <c r="K102" s="104"/>
      <c r="L102" s="105"/>
      <c r="M102" s="39"/>
      <c r="N102" s="103" t="s">
        <v>216</v>
      </c>
      <c r="O102" s="104"/>
      <c r="P102" s="105"/>
      <c r="Q102" s="39"/>
      <c r="R102" s="103" t="s">
        <v>216</v>
      </c>
      <c r="S102" s="104"/>
      <c r="T102" s="105"/>
      <c r="U102" s="39"/>
      <c r="V102" s="103" t="s">
        <v>216</v>
      </c>
      <c r="W102" s="104"/>
      <c r="X102" s="105"/>
      <c r="Y102" s="39"/>
      <c r="Z102" s="103" t="s">
        <v>216</v>
      </c>
      <c r="AA102" s="104"/>
      <c r="AB102" s="105"/>
      <c r="AC102" s="39"/>
      <c r="AD102" s="103" t="s">
        <v>216</v>
      </c>
      <c r="AE102" s="104"/>
      <c r="AF102" s="105"/>
      <c r="AG102" s="39"/>
      <c r="AH102" s="103" t="s">
        <v>216</v>
      </c>
      <c r="AI102" s="104"/>
      <c r="AJ102" s="105"/>
      <c r="AK102" s="39"/>
      <c r="AL102" s="103" t="s">
        <v>216</v>
      </c>
      <c r="AM102" s="104"/>
      <c r="AN102" s="105"/>
      <c r="AO102" s="39"/>
      <c r="AP102" s="103" t="s">
        <v>216</v>
      </c>
      <c r="AQ102" s="104"/>
      <c r="AR102" s="105"/>
      <c r="AS102" s="39"/>
      <c r="AT102" s="103" t="s">
        <v>216</v>
      </c>
      <c r="AU102" s="104"/>
      <c r="AV102" s="105"/>
      <c r="AW102" s="39"/>
      <c r="AX102" s="103" t="s">
        <v>216</v>
      </c>
      <c r="AY102" s="104"/>
      <c r="AZ102" s="105"/>
      <c r="BA102" s="39"/>
      <c r="BB102" s="103" t="s">
        <v>216</v>
      </c>
      <c r="BC102" s="104"/>
      <c r="BD102" s="105"/>
      <c r="BE102" s="354" t="e">
        <f>BD140*0.1-#REF!</f>
        <v>#REF!</v>
      </c>
    </row>
    <row r="103" spans="1:56" s="235" customFormat="1" ht="18.75">
      <c r="A103" s="397" t="s">
        <v>409</v>
      </c>
      <c r="B103" s="372" t="s">
        <v>29</v>
      </c>
      <c r="C103" s="398"/>
      <c r="D103" s="231"/>
      <c r="E103" s="397" t="s">
        <v>409</v>
      </c>
      <c r="F103" s="372" t="s">
        <v>29</v>
      </c>
      <c r="G103" s="398"/>
      <c r="H103" s="402"/>
      <c r="I103" s="397" t="s">
        <v>409</v>
      </c>
      <c r="J103" s="372" t="s">
        <v>29</v>
      </c>
      <c r="K103" s="398"/>
      <c r="L103" s="231"/>
      <c r="M103" s="397" t="s">
        <v>409</v>
      </c>
      <c r="N103" s="372" t="s">
        <v>29</v>
      </c>
      <c r="O103" s="398"/>
      <c r="P103" s="231"/>
      <c r="Q103" s="397" t="s">
        <v>409</v>
      </c>
      <c r="R103" s="372" t="s">
        <v>29</v>
      </c>
      <c r="S103" s="398"/>
      <c r="T103" s="231"/>
      <c r="U103" s="397" t="s">
        <v>409</v>
      </c>
      <c r="V103" s="372" t="s">
        <v>29</v>
      </c>
      <c r="W103" s="398"/>
      <c r="X103" s="231"/>
      <c r="Y103" s="397" t="s">
        <v>409</v>
      </c>
      <c r="Z103" s="372" t="s">
        <v>29</v>
      </c>
      <c r="AA103" s="398"/>
      <c r="AB103" s="231"/>
      <c r="AC103" s="397" t="s">
        <v>409</v>
      </c>
      <c r="AD103" s="372" t="s">
        <v>29</v>
      </c>
      <c r="AE103" s="398"/>
      <c r="AF103" s="231"/>
      <c r="AG103" s="397" t="s">
        <v>409</v>
      </c>
      <c r="AH103" s="372" t="s">
        <v>29</v>
      </c>
      <c r="AI103" s="398"/>
      <c r="AJ103" s="231"/>
      <c r="AK103" s="397" t="s">
        <v>409</v>
      </c>
      <c r="AL103" s="372" t="s">
        <v>29</v>
      </c>
      <c r="AM103" s="398"/>
      <c r="AN103" s="231"/>
      <c r="AO103" s="397" t="s">
        <v>409</v>
      </c>
      <c r="AP103" s="372" t="s">
        <v>29</v>
      </c>
      <c r="AQ103" s="398"/>
      <c r="AR103" s="231"/>
      <c r="AS103" s="397" t="s">
        <v>409</v>
      </c>
      <c r="AT103" s="372" t="s">
        <v>29</v>
      </c>
      <c r="AU103" s="398"/>
      <c r="AV103" s="231"/>
      <c r="AW103" s="397" t="s">
        <v>409</v>
      </c>
      <c r="AX103" s="372" t="s">
        <v>29</v>
      </c>
      <c r="AY103" s="398"/>
      <c r="AZ103" s="231"/>
      <c r="BA103" s="397" t="s">
        <v>409</v>
      </c>
      <c r="BB103" s="372" t="s">
        <v>29</v>
      </c>
      <c r="BC103" s="398"/>
      <c r="BD103" s="231"/>
    </row>
    <row r="104" spans="1:56" s="453" customFormat="1" ht="18.75">
      <c r="A104" s="448" t="s">
        <v>220</v>
      </c>
      <c r="B104" s="527" t="s">
        <v>319</v>
      </c>
      <c r="C104" s="449" t="s">
        <v>28</v>
      </c>
      <c r="D104" s="511">
        <f>D105+D106</f>
        <v>0.9890000000000001</v>
      </c>
      <c r="E104" s="448" t="s">
        <v>220</v>
      </c>
      <c r="F104" s="527" t="s">
        <v>379</v>
      </c>
      <c r="G104" s="449" t="s">
        <v>28</v>
      </c>
      <c r="H104" s="456">
        <f>H105+H106</f>
        <v>0.1</v>
      </c>
      <c r="I104" s="448" t="s">
        <v>220</v>
      </c>
      <c r="J104" s="527" t="s">
        <v>154</v>
      </c>
      <c r="K104" s="449" t="s">
        <v>28</v>
      </c>
      <c r="L104" s="456">
        <f>L105+L106</f>
        <v>0.03</v>
      </c>
      <c r="M104" s="448" t="s">
        <v>220</v>
      </c>
      <c r="N104" s="527" t="s">
        <v>154</v>
      </c>
      <c r="O104" s="449" t="s">
        <v>28</v>
      </c>
      <c r="P104" s="456">
        <f>P105+P106</f>
        <v>0.02</v>
      </c>
      <c r="Q104" s="448" t="s">
        <v>220</v>
      </c>
      <c r="R104" s="527" t="s">
        <v>154</v>
      </c>
      <c r="S104" s="449" t="s">
        <v>28</v>
      </c>
      <c r="T104" s="456">
        <f>T105+T106</f>
        <v>0.03</v>
      </c>
      <c r="U104" s="448" t="s">
        <v>220</v>
      </c>
      <c r="V104" s="527" t="s">
        <v>154</v>
      </c>
      <c r="W104" s="449" t="s">
        <v>28</v>
      </c>
      <c r="X104" s="456">
        <f>X105+X106</f>
        <v>0.03</v>
      </c>
      <c r="Y104" s="448" t="s">
        <v>220</v>
      </c>
      <c r="Z104" s="527" t="s">
        <v>154</v>
      </c>
      <c r="AA104" s="449" t="s">
        <v>28</v>
      </c>
      <c r="AB104" s="456">
        <f>AB105+AB106</f>
        <v>0.2</v>
      </c>
      <c r="AC104" s="448" t="s">
        <v>220</v>
      </c>
      <c r="AD104" s="527" t="s">
        <v>154</v>
      </c>
      <c r="AE104" s="449" t="s">
        <v>28</v>
      </c>
      <c r="AF104" s="456">
        <f>AF105+AF106</f>
        <v>0.119</v>
      </c>
      <c r="AG104" s="448" t="s">
        <v>220</v>
      </c>
      <c r="AH104" s="527" t="s">
        <v>154</v>
      </c>
      <c r="AI104" s="449" t="s">
        <v>28</v>
      </c>
      <c r="AJ104" s="456">
        <f>AJ105+AJ106</f>
        <v>0.09999999999999999</v>
      </c>
      <c r="AK104" s="448" t="s">
        <v>220</v>
      </c>
      <c r="AL104" s="527" t="s">
        <v>154</v>
      </c>
      <c r="AM104" s="449" t="s">
        <v>28</v>
      </c>
      <c r="AN104" s="456">
        <f>AN105+AN106</f>
        <v>0.2</v>
      </c>
      <c r="AO104" s="448" t="s">
        <v>220</v>
      </c>
      <c r="AP104" s="527" t="s">
        <v>154</v>
      </c>
      <c r="AQ104" s="449" t="s">
        <v>28</v>
      </c>
      <c r="AR104" s="456">
        <f>AR105+AR106</f>
        <v>0.02</v>
      </c>
      <c r="AS104" s="448" t="s">
        <v>220</v>
      </c>
      <c r="AT104" s="527" t="s">
        <v>154</v>
      </c>
      <c r="AU104" s="449" t="s">
        <v>28</v>
      </c>
      <c r="AV104" s="456">
        <f>AV105+AV106</f>
        <v>0.02</v>
      </c>
      <c r="AW104" s="448" t="s">
        <v>220</v>
      </c>
      <c r="AX104" s="527" t="s">
        <v>154</v>
      </c>
      <c r="AY104" s="449" t="s">
        <v>28</v>
      </c>
      <c r="AZ104" s="456">
        <f>AZ105+AZ106</f>
        <v>0.02</v>
      </c>
      <c r="BA104" s="448" t="s">
        <v>220</v>
      </c>
      <c r="BB104" s="527" t="s">
        <v>154</v>
      </c>
      <c r="BC104" s="449" t="s">
        <v>28</v>
      </c>
      <c r="BD104" s="456">
        <f>BD105+BD106</f>
        <v>0.1</v>
      </c>
    </row>
    <row r="105" spans="1:56" ht="18.75">
      <c r="A105" s="20" t="s">
        <v>194</v>
      </c>
      <c r="B105" s="84" t="s">
        <v>349</v>
      </c>
      <c r="C105" s="85" t="s">
        <v>28</v>
      </c>
      <c r="D105" s="232">
        <f aca="true" t="shared" si="4" ref="D105:D110">H105+L105+P105+T105+X105+AB105+AF105+AJ105+AN105+AR105+AV105+AZ105+BD105</f>
        <v>0.789</v>
      </c>
      <c r="E105" s="20" t="s">
        <v>194</v>
      </c>
      <c r="F105" s="84" t="s">
        <v>349</v>
      </c>
      <c r="G105" s="85" t="s">
        <v>28</v>
      </c>
      <c r="H105" s="89">
        <v>0.08</v>
      </c>
      <c r="I105" s="20" t="s">
        <v>194</v>
      </c>
      <c r="J105" s="84" t="s">
        <v>349</v>
      </c>
      <c r="K105" s="85" t="s">
        <v>28</v>
      </c>
      <c r="L105" s="89">
        <v>0.02</v>
      </c>
      <c r="M105" s="20" t="s">
        <v>194</v>
      </c>
      <c r="N105" s="84" t="s">
        <v>349</v>
      </c>
      <c r="O105" s="85" t="s">
        <v>28</v>
      </c>
      <c r="P105" s="89">
        <v>0.02</v>
      </c>
      <c r="Q105" s="20" t="s">
        <v>194</v>
      </c>
      <c r="R105" s="84" t="s">
        <v>349</v>
      </c>
      <c r="S105" s="85" t="s">
        <v>28</v>
      </c>
      <c r="T105" s="89">
        <v>0.03</v>
      </c>
      <c r="U105" s="20" t="s">
        <v>194</v>
      </c>
      <c r="V105" s="84" t="s">
        <v>349</v>
      </c>
      <c r="W105" s="85" t="s">
        <v>28</v>
      </c>
      <c r="X105" s="89">
        <v>0.01</v>
      </c>
      <c r="Y105" s="20" t="s">
        <v>194</v>
      </c>
      <c r="Z105" s="84" t="s">
        <v>349</v>
      </c>
      <c r="AA105" s="85" t="s">
        <v>28</v>
      </c>
      <c r="AB105" s="89">
        <v>0.12</v>
      </c>
      <c r="AC105" s="20" t="s">
        <v>194</v>
      </c>
      <c r="AD105" s="84" t="s">
        <v>349</v>
      </c>
      <c r="AE105" s="85" t="s">
        <v>28</v>
      </c>
      <c r="AF105" s="89">
        <v>0.109</v>
      </c>
      <c r="AG105" s="20" t="s">
        <v>194</v>
      </c>
      <c r="AH105" s="84" t="s">
        <v>349</v>
      </c>
      <c r="AI105" s="85" t="s">
        <v>28</v>
      </c>
      <c r="AJ105" s="89">
        <v>0.09</v>
      </c>
      <c r="AK105" s="20" t="s">
        <v>194</v>
      </c>
      <c r="AL105" s="84" t="s">
        <v>349</v>
      </c>
      <c r="AM105" s="85" t="s">
        <v>28</v>
      </c>
      <c r="AN105" s="89">
        <v>0.16</v>
      </c>
      <c r="AO105" s="20" t="s">
        <v>194</v>
      </c>
      <c r="AP105" s="84" t="s">
        <v>349</v>
      </c>
      <c r="AQ105" s="85" t="s">
        <v>28</v>
      </c>
      <c r="AR105" s="89">
        <v>0.02</v>
      </c>
      <c r="AS105" s="20" t="s">
        <v>194</v>
      </c>
      <c r="AT105" s="84" t="s">
        <v>349</v>
      </c>
      <c r="AU105" s="85" t="s">
        <v>28</v>
      </c>
      <c r="AV105" s="89">
        <v>0.02</v>
      </c>
      <c r="AW105" s="20" t="s">
        <v>194</v>
      </c>
      <c r="AX105" s="84" t="s">
        <v>349</v>
      </c>
      <c r="AY105" s="85" t="s">
        <v>28</v>
      </c>
      <c r="AZ105" s="89">
        <v>0.01</v>
      </c>
      <c r="BA105" s="20" t="s">
        <v>194</v>
      </c>
      <c r="BB105" s="84" t="s">
        <v>349</v>
      </c>
      <c r="BC105" s="85" t="s">
        <v>28</v>
      </c>
      <c r="BD105" s="89">
        <v>0.1</v>
      </c>
    </row>
    <row r="106" spans="1:56" ht="18.75">
      <c r="A106" s="20" t="s">
        <v>195</v>
      </c>
      <c r="B106" s="84" t="s">
        <v>350</v>
      </c>
      <c r="C106" s="85" t="s">
        <v>28</v>
      </c>
      <c r="D106" s="232">
        <f t="shared" si="4"/>
        <v>0.20000000000000004</v>
      </c>
      <c r="E106" s="20" t="s">
        <v>195</v>
      </c>
      <c r="F106" s="84" t="s">
        <v>350</v>
      </c>
      <c r="G106" s="85" t="s">
        <v>28</v>
      </c>
      <c r="H106" s="89">
        <v>0.02</v>
      </c>
      <c r="I106" s="20" t="s">
        <v>195</v>
      </c>
      <c r="J106" s="84" t="s">
        <v>350</v>
      </c>
      <c r="K106" s="85" t="s">
        <v>28</v>
      </c>
      <c r="L106" s="89">
        <v>0.01</v>
      </c>
      <c r="M106" s="20" t="s">
        <v>195</v>
      </c>
      <c r="N106" s="84" t="s">
        <v>350</v>
      </c>
      <c r="O106" s="85" t="s">
        <v>28</v>
      </c>
      <c r="P106" s="89">
        <v>0</v>
      </c>
      <c r="Q106" s="20" t="s">
        <v>195</v>
      </c>
      <c r="R106" s="84" t="s">
        <v>350</v>
      </c>
      <c r="S106" s="85" t="s">
        <v>28</v>
      </c>
      <c r="T106" s="89">
        <v>0</v>
      </c>
      <c r="U106" s="20" t="s">
        <v>195</v>
      </c>
      <c r="V106" s="84" t="s">
        <v>350</v>
      </c>
      <c r="W106" s="85" t="s">
        <v>28</v>
      </c>
      <c r="X106" s="89">
        <v>0.02</v>
      </c>
      <c r="Y106" s="20" t="s">
        <v>195</v>
      </c>
      <c r="Z106" s="84" t="s">
        <v>350</v>
      </c>
      <c r="AA106" s="85" t="s">
        <v>28</v>
      </c>
      <c r="AB106" s="89">
        <v>0.08</v>
      </c>
      <c r="AC106" s="20" t="s">
        <v>195</v>
      </c>
      <c r="AD106" s="84" t="s">
        <v>350</v>
      </c>
      <c r="AE106" s="85" t="s">
        <v>28</v>
      </c>
      <c r="AF106" s="89">
        <v>0.01</v>
      </c>
      <c r="AG106" s="20" t="s">
        <v>195</v>
      </c>
      <c r="AH106" s="84" t="s">
        <v>350</v>
      </c>
      <c r="AI106" s="85" t="s">
        <v>28</v>
      </c>
      <c r="AJ106" s="89">
        <v>0.01</v>
      </c>
      <c r="AK106" s="20" t="s">
        <v>195</v>
      </c>
      <c r="AL106" s="84" t="s">
        <v>350</v>
      </c>
      <c r="AM106" s="85" t="s">
        <v>28</v>
      </c>
      <c r="AN106" s="89">
        <v>0.04</v>
      </c>
      <c r="AO106" s="20" t="s">
        <v>195</v>
      </c>
      <c r="AP106" s="84" t="s">
        <v>350</v>
      </c>
      <c r="AQ106" s="85" t="s">
        <v>28</v>
      </c>
      <c r="AR106" s="89">
        <v>0</v>
      </c>
      <c r="AS106" s="20" t="s">
        <v>195</v>
      </c>
      <c r="AT106" s="84" t="s">
        <v>350</v>
      </c>
      <c r="AU106" s="85" t="s">
        <v>28</v>
      </c>
      <c r="AV106" s="89">
        <v>0</v>
      </c>
      <c r="AW106" s="20" t="s">
        <v>195</v>
      </c>
      <c r="AX106" s="84" t="s">
        <v>350</v>
      </c>
      <c r="AY106" s="85" t="s">
        <v>28</v>
      </c>
      <c r="AZ106" s="89">
        <v>0.01</v>
      </c>
      <c r="BA106" s="20" t="s">
        <v>195</v>
      </c>
      <c r="BB106" s="84" t="s">
        <v>350</v>
      </c>
      <c r="BC106" s="85" t="s">
        <v>28</v>
      </c>
      <c r="BD106" s="89">
        <v>0</v>
      </c>
    </row>
    <row r="107" spans="1:56" ht="18.75">
      <c r="A107" s="20" t="s">
        <v>196</v>
      </c>
      <c r="B107" s="84" t="s">
        <v>377</v>
      </c>
      <c r="C107" s="85" t="s">
        <v>11</v>
      </c>
      <c r="D107" s="229">
        <f t="shared" si="4"/>
        <v>13</v>
      </c>
      <c r="E107" s="20" t="s">
        <v>196</v>
      </c>
      <c r="F107" s="84" t="s">
        <v>153</v>
      </c>
      <c r="G107" s="85" t="s">
        <v>11</v>
      </c>
      <c r="H107" s="135">
        <v>1</v>
      </c>
      <c r="I107" s="20" t="s">
        <v>196</v>
      </c>
      <c r="J107" s="84" t="s">
        <v>153</v>
      </c>
      <c r="K107" s="85" t="s">
        <v>11</v>
      </c>
      <c r="L107" s="135">
        <v>1</v>
      </c>
      <c r="M107" s="20" t="s">
        <v>196</v>
      </c>
      <c r="N107" s="84" t="s">
        <v>153</v>
      </c>
      <c r="O107" s="85" t="s">
        <v>11</v>
      </c>
      <c r="P107" s="135">
        <v>1</v>
      </c>
      <c r="Q107" s="20" t="s">
        <v>196</v>
      </c>
      <c r="R107" s="84" t="s">
        <v>153</v>
      </c>
      <c r="S107" s="85" t="s">
        <v>11</v>
      </c>
      <c r="T107" s="101">
        <v>1</v>
      </c>
      <c r="U107" s="20" t="s">
        <v>196</v>
      </c>
      <c r="V107" s="84" t="s">
        <v>153</v>
      </c>
      <c r="W107" s="85" t="s">
        <v>11</v>
      </c>
      <c r="X107" s="101">
        <v>1</v>
      </c>
      <c r="Y107" s="20" t="s">
        <v>196</v>
      </c>
      <c r="Z107" s="84" t="s">
        <v>153</v>
      </c>
      <c r="AA107" s="85" t="s">
        <v>11</v>
      </c>
      <c r="AB107" s="101">
        <v>1</v>
      </c>
      <c r="AC107" s="20" t="s">
        <v>196</v>
      </c>
      <c r="AD107" s="84" t="s">
        <v>153</v>
      </c>
      <c r="AE107" s="85" t="s">
        <v>11</v>
      </c>
      <c r="AF107" s="101">
        <v>1</v>
      </c>
      <c r="AG107" s="20" t="s">
        <v>196</v>
      </c>
      <c r="AH107" s="84" t="s">
        <v>153</v>
      </c>
      <c r="AI107" s="85" t="s">
        <v>11</v>
      </c>
      <c r="AJ107" s="101">
        <v>1</v>
      </c>
      <c r="AK107" s="20" t="s">
        <v>196</v>
      </c>
      <c r="AL107" s="84" t="s">
        <v>153</v>
      </c>
      <c r="AM107" s="85" t="s">
        <v>11</v>
      </c>
      <c r="AN107" s="101">
        <v>1</v>
      </c>
      <c r="AO107" s="20" t="s">
        <v>196</v>
      </c>
      <c r="AP107" s="84" t="s">
        <v>153</v>
      </c>
      <c r="AQ107" s="85" t="s">
        <v>11</v>
      </c>
      <c r="AR107" s="101">
        <v>1</v>
      </c>
      <c r="AS107" s="20" t="s">
        <v>196</v>
      </c>
      <c r="AT107" s="84" t="s">
        <v>153</v>
      </c>
      <c r="AU107" s="85" t="s">
        <v>11</v>
      </c>
      <c r="AV107" s="101">
        <v>1</v>
      </c>
      <c r="AW107" s="20" t="s">
        <v>196</v>
      </c>
      <c r="AX107" s="84" t="s">
        <v>153</v>
      </c>
      <c r="AY107" s="85" t="s">
        <v>11</v>
      </c>
      <c r="AZ107" s="101">
        <v>1</v>
      </c>
      <c r="BA107" s="20" t="s">
        <v>196</v>
      </c>
      <c r="BB107" s="84" t="s">
        <v>153</v>
      </c>
      <c r="BC107" s="85" t="s">
        <v>11</v>
      </c>
      <c r="BD107" s="101">
        <v>1</v>
      </c>
    </row>
    <row r="108" spans="1:56" ht="18.75">
      <c r="A108" s="20" t="s">
        <v>197</v>
      </c>
      <c r="B108" s="84" t="s">
        <v>35</v>
      </c>
      <c r="C108" s="85" t="s">
        <v>28</v>
      </c>
      <c r="D108" s="232">
        <f t="shared" si="4"/>
        <v>0.4300000000000001</v>
      </c>
      <c r="E108" s="20" t="s">
        <v>197</v>
      </c>
      <c r="F108" s="84" t="s">
        <v>35</v>
      </c>
      <c r="G108" s="85" t="s">
        <v>28</v>
      </c>
      <c r="H108" s="89">
        <v>0.03</v>
      </c>
      <c r="I108" s="20" t="s">
        <v>197</v>
      </c>
      <c r="J108" s="84" t="s">
        <v>35</v>
      </c>
      <c r="K108" s="85" t="s">
        <v>28</v>
      </c>
      <c r="L108" s="89">
        <v>0.01</v>
      </c>
      <c r="M108" s="20" t="s">
        <v>197</v>
      </c>
      <c r="N108" s="84" t="s">
        <v>35</v>
      </c>
      <c r="O108" s="85" t="s">
        <v>28</v>
      </c>
      <c r="P108" s="89">
        <v>0.01</v>
      </c>
      <c r="Q108" s="20" t="s">
        <v>197</v>
      </c>
      <c r="R108" s="84" t="s">
        <v>35</v>
      </c>
      <c r="S108" s="85" t="s">
        <v>28</v>
      </c>
      <c r="T108" s="89">
        <v>0.01</v>
      </c>
      <c r="U108" s="20" t="s">
        <v>197</v>
      </c>
      <c r="V108" s="84" t="s">
        <v>35</v>
      </c>
      <c r="W108" s="85" t="s">
        <v>28</v>
      </c>
      <c r="X108" s="89">
        <v>0.01</v>
      </c>
      <c r="Y108" s="20" t="s">
        <v>197</v>
      </c>
      <c r="Z108" s="84" t="s">
        <v>35</v>
      </c>
      <c r="AA108" s="85" t="s">
        <v>28</v>
      </c>
      <c r="AB108" s="89">
        <v>0.2</v>
      </c>
      <c r="AC108" s="20" t="s">
        <v>197</v>
      </c>
      <c r="AD108" s="84" t="s">
        <v>35</v>
      </c>
      <c r="AE108" s="85" t="s">
        <v>28</v>
      </c>
      <c r="AF108" s="89">
        <v>0.03</v>
      </c>
      <c r="AG108" s="20" t="s">
        <v>197</v>
      </c>
      <c r="AH108" s="84" t="s">
        <v>35</v>
      </c>
      <c r="AI108" s="85" t="s">
        <v>28</v>
      </c>
      <c r="AJ108" s="89">
        <v>0.03</v>
      </c>
      <c r="AK108" s="20" t="s">
        <v>197</v>
      </c>
      <c r="AL108" s="84" t="s">
        <v>35</v>
      </c>
      <c r="AM108" s="85" t="s">
        <v>28</v>
      </c>
      <c r="AN108" s="89">
        <v>0.06</v>
      </c>
      <c r="AO108" s="20" t="s">
        <v>197</v>
      </c>
      <c r="AP108" s="84" t="s">
        <v>35</v>
      </c>
      <c r="AQ108" s="85" t="s">
        <v>28</v>
      </c>
      <c r="AR108" s="89">
        <v>0.01</v>
      </c>
      <c r="AS108" s="20" t="s">
        <v>197</v>
      </c>
      <c r="AT108" s="84" t="s">
        <v>35</v>
      </c>
      <c r="AU108" s="85" t="s">
        <v>28</v>
      </c>
      <c r="AV108" s="89">
        <v>0.01</v>
      </c>
      <c r="AW108" s="20" t="s">
        <v>197</v>
      </c>
      <c r="AX108" s="84" t="s">
        <v>35</v>
      </c>
      <c r="AY108" s="85" t="s">
        <v>28</v>
      </c>
      <c r="AZ108" s="89">
        <v>0.01</v>
      </c>
      <c r="BA108" s="20" t="s">
        <v>197</v>
      </c>
      <c r="BB108" s="84" t="s">
        <v>35</v>
      </c>
      <c r="BC108" s="85" t="s">
        <v>28</v>
      </c>
      <c r="BD108" s="89">
        <v>0.01</v>
      </c>
    </row>
    <row r="109" spans="1:56" ht="18.75" customHeight="1" hidden="1">
      <c r="A109" s="20" t="s">
        <v>198</v>
      </c>
      <c r="B109" s="84" t="s">
        <v>37</v>
      </c>
      <c r="C109" s="85" t="s">
        <v>28</v>
      </c>
      <c r="D109" s="232">
        <f t="shared" si="4"/>
        <v>0</v>
      </c>
      <c r="E109" s="20" t="s">
        <v>198</v>
      </c>
      <c r="F109" s="84" t="s">
        <v>37</v>
      </c>
      <c r="G109" s="85" t="s">
        <v>28</v>
      </c>
      <c r="H109" s="89"/>
      <c r="I109" s="20" t="s">
        <v>198</v>
      </c>
      <c r="J109" s="84" t="s">
        <v>37</v>
      </c>
      <c r="K109" s="85" t="s">
        <v>28</v>
      </c>
      <c r="L109" s="99"/>
      <c r="M109" s="20" t="s">
        <v>198</v>
      </c>
      <c r="N109" s="84" t="s">
        <v>37</v>
      </c>
      <c r="O109" s="85" t="s">
        <v>28</v>
      </c>
      <c r="P109" s="99"/>
      <c r="Q109" s="20" t="s">
        <v>198</v>
      </c>
      <c r="R109" s="84" t="s">
        <v>37</v>
      </c>
      <c r="S109" s="85" t="s">
        <v>28</v>
      </c>
      <c r="T109" s="99"/>
      <c r="U109" s="20" t="s">
        <v>198</v>
      </c>
      <c r="V109" s="84" t="s">
        <v>37</v>
      </c>
      <c r="W109" s="85" t="s">
        <v>28</v>
      </c>
      <c r="X109" s="99"/>
      <c r="Y109" s="20" t="s">
        <v>198</v>
      </c>
      <c r="Z109" s="84" t="s">
        <v>37</v>
      </c>
      <c r="AA109" s="85" t="s">
        <v>28</v>
      </c>
      <c r="AB109" s="99"/>
      <c r="AC109" s="20" t="s">
        <v>198</v>
      </c>
      <c r="AD109" s="84" t="s">
        <v>37</v>
      </c>
      <c r="AE109" s="85" t="s">
        <v>28</v>
      </c>
      <c r="AF109" s="99"/>
      <c r="AG109" s="20" t="s">
        <v>198</v>
      </c>
      <c r="AH109" s="84" t="s">
        <v>37</v>
      </c>
      <c r="AI109" s="85" t="s">
        <v>28</v>
      </c>
      <c r="AJ109" s="89"/>
      <c r="AK109" s="20" t="s">
        <v>198</v>
      </c>
      <c r="AL109" s="84" t="s">
        <v>37</v>
      </c>
      <c r="AM109" s="85" t="s">
        <v>28</v>
      </c>
      <c r="AN109" s="99"/>
      <c r="AO109" s="20" t="s">
        <v>198</v>
      </c>
      <c r="AP109" s="84" t="s">
        <v>37</v>
      </c>
      <c r="AQ109" s="85" t="s">
        <v>28</v>
      </c>
      <c r="AR109" s="99"/>
      <c r="AS109" s="20" t="s">
        <v>198</v>
      </c>
      <c r="AT109" s="84" t="s">
        <v>37</v>
      </c>
      <c r="AU109" s="85" t="s">
        <v>28</v>
      </c>
      <c r="AV109" s="99"/>
      <c r="AW109" s="20" t="s">
        <v>198</v>
      </c>
      <c r="AX109" s="84" t="s">
        <v>37</v>
      </c>
      <c r="AY109" s="85" t="s">
        <v>28</v>
      </c>
      <c r="AZ109" s="99"/>
      <c r="BA109" s="20" t="s">
        <v>198</v>
      </c>
      <c r="BB109" s="84" t="s">
        <v>37</v>
      </c>
      <c r="BC109" s="85" t="s">
        <v>28</v>
      </c>
      <c r="BD109" s="99"/>
    </row>
    <row r="110" spans="1:56" ht="18.75">
      <c r="A110" s="20" t="s">
        <v>198</v>
      </c>
      <c r="B110" s="84" t="s">
        <v>414</v>
      </c>
      <c r="C110" s="86"/>
      <c r="D110" s="229">
        <f t="shared" si="4"/>
        <v>0</v>
      </c>
      <c r="E110" s="20" t="s">
        <v>198</v>
      </c>
      <c r="F110" s="84" t="s">
        <v>348</v>
      </c>
      <c r="G110" s="85" t="s">
        <v>212</v>
      </c>
      <c r="H110" s="100"/>
      <c r="I110" s="20" t="s">
        <v>198</v>
      </c>
      <c r="J110" s="84" t="s">
        <v>348</v>
      </c>
      <c r="K110" s="85" t="s">
        <v>212</v>
      </c>
      <c r="L110" s="99"/>
      <c r="M110" s="20" t="s">
        <v>198</v>
      </c>
      <c r="N110" s="84" t="s">
        <v>348</v>
      </c>
      <c r="O110" s="85" t="s">
        <v>212</v>
      </c>
      <c r="P110" s="99"/>
      <c r="Q110" s="20" t="s">
        <v>198</v>
      </c>
      <c r="R110" s="84" t="s">
        <v>348</v>
      </c>
      <c r="S110" s="85" t="s">
        <v>212</v>
      </c>
      <c r="T110" s="99"/>
      <c r="U110" s="20" t="s">
        <v>198</v>
      </c>
      <c r="V110" s="84" t="s">
        <v>348</v>
      </c>
      <c r="W110" s="85" t="s">
        <v>212</v>
      </c>
      <c r="X110" s="99"/>
      <c r="Y110" s="20" t="s">
        <v>198</v>
      </c>
      <c r="Z110" s="84" t="s">
        <v>348</v>
      </c>
      <c r="AA110" s="85" t="s">
        <v>212</v>
      </c>
      <c r="AB110" s="99"/>
      <c r="AC110" s="20" t="s">
        <v>198</v>
      </c>
      <c r="AD110" s="84" t="s">
        <v>211</v>
      </c>
      <c r="AE110" s="85" t="s">
        <v>212</v>
      </c>
      <c r="AF110" s="99"/>
      <c r="AG110" s="20" t="s">
        <v>198</v>
      </c>
      <c r="AH110" s="84" t="s">
        <v>348</v>
      </c>
      <c r="AI110" s="85" t="s">
        <v>212</v>
      </c>
      <c r="AJ110" s="99"/>
      <c r="AK110" s="20" t="s">
        <v>198</v>
      </c>
      <c r="AL110" s="84" t="s">
        <v>348</v>
      </c>
      <c r="AM110" s="85" t="s">
        <v>212</v>
      </c>
      <c r="AN110" s="99"/>
      <c r="AO110" s="20" t="s">
        <v>198</v>
      </c>
      <c r="AP110" s="84" t="s">
        <v>348</v>
      </c>
      <c r="AQ110" s="85" t="s">
        <v>212</v>
      </c>
      <c r="AR110" s="99"/>
      <c r="AS110" s="20" t="s">
        <v>198</v>
      </c>
      <c r="AT110" s="84" t="s">
        <v>348</v>
      </c>
      <c r="AU110" s="85" t="s">
        <v>212</v>
      </c>
      <c r="AV110" s="99"/>
      <c r="AW110" s="20" t="s">
        <v>198</v>
      </c>
      <c r="AX110" s="84" t="s">
        <v>348</v>
      </c>
      <c r="AY110" s="85" t="s">
        <v>212</v>
      </c>
      <c r="AZ110" s="99"/>
      <c r="BA110" s="20" t="s">
        <v>198</v>
      </c>
      <c r="BB110" s="84" t="s">
        <v>211</v>
      </c>
      <c r="BC110" s="85" t="s">
        <v>212</v>
      </c>
      <c r="BD110" s="99"/>
    </row>
    <row r="111" spans="1:56" ht="18.75" hidden="1">
      <c r="A111" s="20"/>
      <c r="B111" s="84"/>
      <c r="C111" s="85"/>
      <c r="D111" s="229"/>
      <c r="E111" s="20"/>
      <c r="F111" s="84"/>
      <c r="G111" s="85"/>
      <c r="H111" s="100"/>
      <c r="I111" s="20"/>
      <c r="J111" s="84"/>
      <c r="K111" s="85"/>
      <c r="L111" s="99"/>
      <c r="M111" s="20"/>
      <c r="N111" s="84"/>
      <c r="O111" s="85"/>
      <c r="P111" s="99"/>
      <c r="Q111" s="20"/>
      <c r="R111" s="84"/>
      <c r="S111" s="85"/>
      <c r="T111" s="99"/>
      <c r="U111" s="20"/>
      <c r="V111" s="84"/>
      <c r="W111" s="85"/>
      <c r="X111" s="99"/>
      <c r="Y111" s="20"/>
      <c r="Z111" s="84"/>
      <c r="AA111" s="85"/>
      <c r="AB111" s="99"/>
      <c r="AC111" s="20"/>
      <c r="AD111" s="84"/>
      <c r="AE111" s="85"/>
      <c r="AF111" s="99"/>
      <c r="AG111" s="20"/>
      <c r="AH111" s="84"/>
      <c r="AI111" s="85"/>
      <c r="AJ111" s="99"/>
      <c r="AK111" s="20"/>
      <c r="AL111" s="84"/>
      <c r="AM111" s="85"/>
      <c r="AN111" s="99"/>
      <c r="AO111" s="20"/>
      <c r="AP111" s="84"/>
      <c r="AQ111" s="85"/>
      <c r="AR111" s="99"/>
      <c r="AS111" s="20"/>
      <c r="AT111" s="84"/>
      <c r="AU111" s="85"/>
      <c r="AV111" s="99"/>
      <c r="AW111" s="20"/>
      <c r="AX111" s="84"/>
      <c r="AY111" s="85"/>
      <c r="AZ111" s="99"/>
      <c r="BA111" s="20"/>
      <c r="BB111" s="84"/>
      <c r="BC111" s="85"/>
      <c r="BD111" s="99"/>
    </row>
    <row r="112" spans="1:56" ht="18.75">
      <c r="A112" s="20" t="s">
        <v>359</v>
      </c>
      <c r="B112" s="84" t="s">
        <v>30</v>
      </c>
      <c r="C112" s="85" t="s">
        <v>25</v>
      </c>
      <c r="D112" s="229"/>
      <c r="E112" s="20" t="s">
        <v>359</v>
      </c>
      <c r="F112" s="84" t="s">
        <v>30</v>
      </c>
      <c r="G112" s="85" t="s">
        <v>25</v>
      </c>
      <c r="H112" s="100"/>
      <c r="I112" s="20" t="s">
        <v>359</v>
      </c>
      <c r="J112" s="84" t="s">
        <v>30</v>
      </c>
      <c r="K112" s="85" t="s">
        <v>25</v>
      </c>
      <c r="L112" s="99"/>
      <c r="M112" s="20" t="s">
        <v>359</v>
      </c>
      <c r="N112" s="84" t="s">
        <v>30</v>
      </c>
      <c r="O112" s="85" t="s">
        <v>25</v>
      </c>
      <c r="P112" s="99"/>
      <c r="Q112" s="20" t="s">
        <v>359</v>
      </c>
      <c r="R112" s="84" t="s">
        <v>30</v>
      </c>
      <c r="S112" s="85" t="s">
        <v>25</v>
      </c>
      <c r="T112" s="99"/>
      <c r="U112" s="20" t="s">
        <v>359</v>
      </c>
      <c r="V112" s="84" t="s">
        <v>30</v>
      </c>
      <c r="W112" s="85" t="s">
        <v>25</v>
      </c>
      <c r="X112" s="99"/>
      <c r="Y112" s="20" t="s">
        <v>359</v>
      </c>
      <c r="Z112" s="84" t="s">
        <v>30</v>
      </c>
      <c r="AA112" s="85" t="s">
        <v>25</v>
      </c>
      <c r="AB112" s="99"/>
      <c r="AC112" s="20" t="s">
        <v>359</v>
      </c>
      <c r="AD112" s="84" t="s">
        <v>30</v>
      </c>
      <c r="AE112" s="85" t="s">
        <v>25</v>
      </c>
      <c r="AF112" s="99"/>
      <c r="AG112" s="20" t="s">
        <v>359</v>
      </c>
      <c r="AH112" s="84" t="s">
        <v>30</v>
      </c>
      <c r="AI112" s="85" t="s">
        <v>25</v>
      </c>
      <c r="AJ112" s="99"/>
      <c r="AK112" s="20" t="s">
        <v>359</v>
      </c>
      <c r="AL112" s="84" t="s">
        <v>30</v>
      </c>
      <c r="AM112" s="85" t="s">
        <v>25</v>
      </c>
      <c r="AN112" s="99"/>
      <c r="AO112" s="20" t="s">
        <v>359</v>
      </c>
      <c r="AP112" s="84" t="s">
        <v>30</v>
      </c>
      <c r="AQ112" s="85" t="s">
        <v>25</v>
      </c>
      <c r="AR112" s="99"/>
      <c r="AS112" s="20" t="s">
        <v>359</v>
      </c>
      <c r="AT112" s="84" t="s">
        <v>30</v>
      </c>
      <c r="AU112" s="85" t="s">
        <v>25</v>
      </c>
      <c r="AV112" s="99"/>
      <c r="AW112" s="20" t="s">
        <v>359</v>
      </c>
      <c r="AX112" s="84" t="s">
        <v>30</v>
      </c>
      <c r="AY112" s="85" t="s">
        <v>25</v>
      </c>
      <c r="AZ112" s="99"/>
      <c r="BA112" s="20" t="s">
        <v>359</v>
      </c>
      <c r="BB112" s="84" t="s">
        <v>30</v>
      </c>
      <c r="BC112" s="85" t="s">
        <v>25</v>
      </c>
      <c r="BD112" s="99"/>
    </row>
    <row r="113" spans="1:56" ht="18.75">
      <c r="A113" s="39"/>
      <c r="B113" s="103" t="s">
        <v>216</v>
      </c>
      <c r="C113" s="104"/>
      <c r="D113" s="236"/>
      <c r="E113" s="39"/>
      <c r="F113" s="103" t="s">
        <v>216</v>
      </c>
      <c r="G113" s="104"/>
      <c r="H113" s="107"/>
      <c r="I113" s="39"/>
      <c r="J113" s="103" t="s">
        <v>216</v>
      </c>
      <c r="K113" s="104"/>
      <c r="L113" s="105"/>
      <c r="M113" s="39"/>
      <c r="N113" s="103" t="s">
        <v>216</v>
      </c>
      <c r="O113" s="104"/>
      <c r="P113" s="105"/>
      <c r="Q113" s="39"/>
      <c r="R113" s="103" t="s">
        <v>216</v>
      </c>
      <c r="S113" s="104"/>
      <c r="T113" s="105"/>
      <c r="U113" s="39"/>
      <c r="V113" s="103" t="s">
        <v>216</v>
      </c>
      <c r="W113" s="104"/>
      <c r="X113" s="105"/>
      <c r="Y113" s="39"/>
      <c r="Z113" s="103" t="s">
        <v>216</v>
      </c>
      <c r="AA113" s="104"/>
      <c r="AB113" s="105"/>
      <c r="AC113" s="39"/>
      <c r="AD113" s="103" t="s">
        <v>216</v>
      </c>
      <c r="AE113" s="104"/>
      <c r="AF113" s="105"/>
      <c r="AG113" s="39"/>
      <c r="AH113" s="103" t="s">
        <v>216</v>
      </c>
      <c r="AI113" s="104"/>
      <c r="AJ113" s="105"/>
      <c r="AK113" s="39"/>
      <c r="AL113" s="103" t="s">
        <v>216</v>
      </c>
      <c r="AM113" s="104"/>
      <c r="AN113" s="105"/>
      <c r="AO113" s="39"/>
      <c r="AP113" s="103" t="s">
        <v>216</v>
      </c>
      <c r="AQ113" s="104"/>
      <c r="AR113" s="105"/>
      <c r="AS113" s="39"/>
      <c r="AT113" s="103" t="s">
        <v>216</v>
      </c>
      <c r="AU113" s="104"/>
      <c r="AV113" s="105"/>
      <c r="AW113" s="39"/>
      <c r="AX113" s="103" t="s">
        <v>216</v>
      </c>
      <c r="AY113" s="104"/>
      <c r="AZ113" s="105"/>
      <c r="BA113" s="39"/>
      <c r="BB113" s="103" t="s">
        <v>216</v>
      </c>
      <c r="BC113" s="104"/>
      <c r="BD113" s="105"/>
    </row>
    <row r="114" spans="1:56" s="235" customFormat="1" ht="18.75">
      <c r="A114" s="397" t="s">
        <v>410</v>
      </c>
      <c r="B114" s="372" t="s">
        <v>32</v>
      </c>
      <c r="C114" s="398"/>
      <c r="D114" s="231"/>
      <c r="E114" s="397" t="s">
        <v>410</v>
      </c>
      <c r="F114" s="372" t="s">
        <v>32</v>
      </c>
      <c r="G114" s="398"/>
      <c r="H114" s="402"/>
      <c r="I114" s="397" t="s">
        <v>410</v>
      </c>
      <c r="J114" s="372" t="s">
        <v>32</v>
      </c>
      <c r="K114" s="398"/>
      <c r="L114" s="231"/>
      <c r="M114" s="397" t="s">
        <v>410</v>
      </c>
      <c r="N114" s="372" t="s">
        <v>32</v>
      </c>
      <c r="O114" s="398"/>
      <c r="P114" s="231"/>
      <c r="Q114" s="397" t="s">
        <v>410</v>
      </c>
      <c r="R114" s="372" t="s">
        <v>32</v>
      </c>
      <c r="S114" s="398"/>
      <c r="T114" s="231"/>
      <c r="U114" s="397" t="s">
        <v>410</v>
      </c>
      <c r="V114" s="372" t="s">
        <v>32</v>
      </c>
      <c r="W114" s="398"/>
      <c r="X114" s="231"/>
      <c r="Y114" s="397" t="s">
        <v>410</v>
      </c>
      <c r="Z114" s="372" t="s">
        <v>32</v>
      </c>
      <c r="AA114" s="398"/>
      <c r="AB114" s="231"/>
      <c r="AC114" s="397" t="s">
        <v>410</v>
      </c>
      <c r="AD114" s="372" t="s">
        <v>32</v>
      </c>
      <c r="AE114" s="398"/>
      <c r="AF114" s="231"/>
      <c r="AG114" s="397" t="s">
        <v>410</v>
      </c>
      <c r="AH114" s="372" t="s">
        <v>32</v>
      </c>
      <c r="AI114" s="398"/>
      <c r="AJ114" s="231"/>
      <c r="AK114" s="397" t="s">
        <v>410</v>
      </c>
      <c r="AL114" s="372" t="s">
        <v>32</v>
      </c>
      <c r="AM114" s="398"/>
      <c r="AN114" s="231"/>
      <c r="AO114" s="397" t="s">
        <v>410</v>
      </c>
      <c r="AP114" s="372" t="s">
        <v>32</v>
      </c>
      <c r="AQ114" s="398"/>
      <c r="AR114" s="231"/>
      <c r="AS114" s="397" t="s">
        <v>410</v>
      </c>
      <c r="AT114" s="372" t="s">
        <v>32</v>
      </c>
      <c r="AU114" s="398"/>
      <c r="AV114" s="231"/>
      <c r="AW114" s="397" t="s">
        <v>410</v>
      </c>
      <c r="AX114" s="372" t="s">
        <v>32</v>
      </c>
      <c r="AY114" s="398"/>
      <c r="AZ114" s="231"/>
      <c r="BA114" s="397" t="s">
        <v>410</v>
      </c>
      <c r="BB114" s="372" t="s">
        <v>32</v>
      </c>
      <c r="BC114" s="398"/>
      <c r="BD114" s="231"/>
    </row>
    <row r="115" spans="1:56" s="453" customFormat="1" ht="20.25" customHeight="1">
      <c r="A115" s="448" t="s">
        <v>221</v>
      </c>
      <c r="B115" s="528" t="s">
        <v>155</v>
      </c>
      <c r="C115" s="449" t="s">
        <v>28</v>
      </c>
      <c r="D115" s="511">
        <f>D116+D117</f>
        <v>1.8184</v>
      </c>
      <c r="E115" s="448" t="s">
        <v>221</v>
      </c>
      <c r="F115" s="527" t="s">
        <v>250</v>
      </c>
      <c r="G115" s="449" t="s">
        <v>28</v>
      </c>
      <c r="H115" s="456">
        <f>H116+H117</f>
        <v>0.19999999999999998</v>
      </c>
      <c r="I115" s="448" t="s">
        <v>221</v>
      </c>
      <c r="J115" s="527" t="s">
        <v>155</v>
      </c>
      <c r="K115" s="449" t="s">
        <v>28</v>
      </c>
      <c r="L115" s="456">
        <f>L116+L117</f>
        <v>0.15</v>
      </c>
      <c r="M115" s="448" t="s">
        <v>221</v>
      </c>
      <c r="N115" s="527" t="s">
        <v>155</v>
      </c>
      <c r="O115" s="449" t="s">
        <v>28</v>
      </c>
      <c r="P115" s="456">
        <f>P116+P117</f>
        <v>0.087</v>
      </c>
      <c r="Q115" s="448" t="s">
        <v>221</v>
      </c>
      <c r="R115" s="527" t="s">
        <v>155</v>
      </c>
      <c r="S115" s="449" t="s">
        <v>28</v>
      </c>
      <c r="T115" s="456">
        <f>T116+T117</f>
        <v>0.09</v>
      </c>
      <c r="U115" s="448" t="s">
        <v>221</v>
      </c>
      <c r="V115" s="527" t="s">
        <v>155</v>
      </c>
      <c r="W115" s="449" t="s">
        <v>28</v>
      </c>
      <c r="X115" s="456">
        <f>X116+X117</f>
        <v>0.1357</v>
      </c>
      <c r="Y115" s="448" t="s">
        <v>221</v>
      </c>
      <c r="Z115" s="527" t="s">
        <v>155</v>
      </c>
      <c r="AA115" s="449" t="s">
        <v>28</v>
      </c>
      <c r="AB115" s="456">
        <f>AB116+AB117</f>
        <v>0.32</v>
      </c>
      <c r="AC115" s="448" t="s">
        <v>221</v>
      </c>
      <c r="AD115" s="527" t="s">
        <v>155</v>
      </c>
      <c r="AE115" s="449" t="s">
        <v>28</v>
      </c>
      <c r="AF115" s="456">
        <f>AF116+AF117</f>
        <v>0.1557</v>
      </c>
      <c r="AG115" s="448" t="s">
        <v>221</v>
      </c>
      <c r="AH115" s="527" t="s">
        <v>155</v>
      </c>
      <c r="AI115" s="449" t="s">
        <v>28</v>
      </c>
      <c r="AJ115" s="456">
        <f>AJ116+AJ117</f>
        <v>0.127</v>
      </c>
      <c r="AK115" s="448" t="s">
        <v>221</v>
      </c>
      <c r="AL115" s="527" t="s">
        <v>155</v>
      </c>
      <c r="AM115" s="449" t="s">
        <v>28</v>
      </c>
      <c r="AN115" s="456">
        <f>AN116+AN117</f>
        <v>0.353</v>
      </c>
      <c r="AO115" s="448" t="s">
        <v>221</v>
      </c>
      <c r="AP115" s="527" t="s">
        <v>155</v>
      </c>
      <c r="AQ115" s="449" t="s">
        <v>28</v>
      </c>
      <c r="AR115" s="456">
        <f>AR116+AR117</f>
        <v>0.05</v>
      </c>
      <c r="AS115" s="448" t="s">
        <v>221</v>
      </c>
      <c r="AT115" s="527" t="s">
        <v>155</v>
      </c>
      <c r="AU115" s="449" t="s">
        <v>28</v>
      </c>
      <c r="AV115" s="456">
        <f>AV116+AV117</f>
        <v>0.05</v>
      </c>
      <c r="AW115" s="448" t="s">
        <v>221</v>
      </c>
      <c r="AX115" s="527" t="s">
        <v>155</v>
      </c>
      <c r="AY115" s="449" t="s">
        <v>28</v>
      </c>
      <c r="AZ115" s="456">
        <f>AZ116+AZ117</f>
        <v>0.060000000000000005</v>
      </c>
      <c r="BA115" s="448" t="s">
        <v>221</v>
      </c>
      <c r="BB115" s="527" t="s">
        <v>155</v>
      </c>
      <c r="BC115" s="449" t="s">
        <v>28</v>
      </c>
      <c r="BD115" s="456">
        <f>BD116+BD117</f>
        <v>0.04</v>
      </c>
    </row>
    <row r="116" spans="1:56" ht="18.75">
      <c r="A116" s="20" t="s">
        <v>81</v>
      </c>
      <c r="B116" s="84" t="s">
        <v>349</v>
      </c>
      <c r="C116" s="85" t="s">
        <v>28</v>
      </c>
      <c r="D116" s="232">
        <f>H116+L116+P116+T116+X116+AB116+AF116+AJ116+AN116+AR116+AV116+AZ116+BD116</f>
        <v>1.2884</v>
      </c>
      <c r="E116" s="20" t="s">
        <v>81</v>
      </c>
      <c r="F116" s="84" t="s">
        <v>349</v>
      </c>
      <c r="G116" s="85" t="s">
        <v>28</v>
      </c>
      <c r="H116" s="89">
        <v>0.18</v>
      </c>
      <c r="I116" s="20" t="s">
        <v>81</v>
      </c>
      <c r="J116" s="84" t="s">
        <v>349</v>
      </c>
      <c r="K116" s="85" t="s">
        <v>28</v>
      </c>
      <c r="L116" s="89"/>
      <c r="M116" s="20" t="s">
        <v>81</v>
      </c>
      <c r="N116" s="84" t="s">
        <v>349</v>
      </c>
      <c r="O116" s="85" t="s">
        <v>28</v>
      </c>
      <c r="P116" s="89">
        <v>0.077</v>
      </c>
      <c r="Q116" s="20" t="s">
        <v>81</v>
      </c>
      <c r="R116" s="84" t="s">
        <v>349</v>
      </c>
      <c r="S116" s="85" t="s">
        <v>28</v>
      </c>
      <c r="T116" s="89">
        <v>0.09</v>
      </c>
      <c r="U116" s="20" t="s">
        <v>81</v>
      </c>
      <c r="V116" s="84" t="s">
        <v>349</v>
      </c>
      <c r="W116" s="85" t="s">
        <v>28</v>
      </c>
      <c r="X116" s="89">
        <f>0.09+0.0457</f>
        <v>0.1357</v>
      </c>
      <c r="Y116" s="20" t="s">
        <v>81</v>
      </c>
      <c r="Z116" s="84" t="s">
        <v>349</v>
      </c>
      <c r="AA116" s="85" t="s">
        <v>28</v>
      </c>
      <c r="AB116" s="89">
        <v>0.25</v>
      </c>
      <c r="AC116" s="20" t="s">
        <v>81</v>
      </c>
      <c r="AD116" s="84" t="s">
        <v>349</v>
      </c>
      <c r="AE116" s="85" t="s">
        <v>28</v>
      </c>
      <c r="AF116" s="89">
        <f>0.09+0.0557</f>
        <v>0.1457</v>
      </c>
      <c r="AG116" s="20" t="s">
        <v>81</v>
      </c>
      <c r="AH116" s="84" t="s">
        <v>349</v>
      </c>
      <c r="AI116" s="85" t="s">
        <v>28</v>
      </c>
      <c r="AJ116" s="138">
        <f>0.09+0.027</f>
        <v>0.11699999999999999</v>
      </c>
      <c r="AK116" s="20" t="s">
        <v>81</v>
      </c>
      <c r="AL116" s="84" t="s">
        <v>349</v>
      </c>
      <c r="AM116" s="85" t="s">
        <v>28</v>
      </c>
      <c r="AN116" s="138">
        <f>0.12+0.053</f>
        <v>0.173</v>
      </c>
      <c r="AO116" s="20" t="s">
        <v>81</v>
      </c>
      <c r="AP116" s="84" t="s">
        <v>349</v>
      </c>
      <c r="AQ116" s="85" t="s">
        <v>28</v>
      </c>
      <c r="AR116" s="89">
        <v>0.03</v>
      </c>
      <c r="AS116" s="20" t="s">
        <v>81</v>
      </c>
      <c r="AT116" s="84" t="s">
        <v>349</v>
      </c>
      <c r="AU116" s="85" t="s">
        <v>28</v>
      </c>
      <c r="AV116" s="138">
        <v>0.05</v>
      </c>
      <c r="AW116" s="20" t="s">
        <v>81</v>
      </c>
      <c r="AX116" s="84" t="s">
        <v>349</v>
      </c>
      <c r="AY116" s="85" t="s">
        <v>28</v>
      </c>
      <c r="AZ116" s="89">
        <v>0.01</v>
      </c>
      <c r="BA116" s="20" t="s">
        <v>81</v>
      </c>
      <c r="BB116" s="84" t="s">
        <v>349</v>
      </c>
      <c r="BC116" s="85" t="s">
        <v>28</v>
      </c>
      <c r="BD116" s="89">
        <v>0.03</v>
      </c>
    </row>
    <row r="117" spans="1:56" ht="18.75">
      <c r="A117" s="20" t="s">
        <v>82</v>
      </c>
      <c r="B117" s="84" t="s">
        <v>350</v>
      </c>
      <c r="C117" s="85" t="s">
        <v>28</v>
      </c>
      <c r="D117" s="232">
        <f>H117+L117+P117+T117+X117+AB117+AF117+AJ117+AN117+AR117+AV117+AZ117+BD117</f>
        <v>0.53</v>
      </c>
      <c r="E117" s="20" t="s">
        <v>82</v>
      </c>
      <c r="F117" s="84" t="s">
        <v>350</v>
      </c>
      <c r="G117" s="85" t="s">
        <v>28</v>
      </c>
      <c r="H117" s="89">
        <v>0.02</v>
      </c>
      <c r="I117" s="20" t="s">
        <v>82</v>
      </c>
      <c r="J117" s="84" t="s">
        <v>350</v>
      </c>
      <c r="K117" s="85" t="s">
        <v>28</v>
      </c>
      <c r="L117" s="89">
        <v>0.15</v>
      </c>
      <c r="M117" s="20" t="s">
        <v>82</v>
      </c>
      <c r="N117" s="84" t="s">
        <v>350</v>
      </c>
      <c r="O117" s="85" t="s">
        <v>28</v>
      </c>
      <c r="P117" s="89">
        <v>0.01</v>
      </c>
      <c r="Q117" s="20" t="s">
        <v>82</v>
      </c>
      <c r="R117" s="84" t="s">
        <v>350</v>
      </c>
      <c r="S117" s="85" t="s">
        <v>28</v>
      </c>
      <c r="T117" s="89"/>
      <c r="U117" s="20" t="s">
        <v>82</v>
      </c>
      <c r="V117" s="84" t="s">
        <v>350</v>
      </c>
      <c r="W117" s="85" t="s">
        <v>28</v>
      </c>
      <c r="X117" s="89"/>
      <c r="Y117" s="20" t="s">
        <v>82</v>
      </c>
      <c r="Z117" s="84" t="s">
        <v>350</v>
      </c>
      <c r="AA117" s="85" t="s">
        <v>28</v>
      </c>
      <c r="AB117" s="89">
        <v>0.07</v>
      </c>
      <c r="AC117" s="20" t="s">
        <v>82</v>
      </c>
      <c r="AD117" s="84" t="s">
        <v>350</v>
      </c>
      <c r="AE117" s="85" t="s">
        <v>28</v>
      </c>
      <c r="AF117" s="89">
        <v>0.01</v>
      </c>
      <c r="AG117" s="20" t="s">
        <v>82</v>
      </c>
      <c r="AH117" s="84" t="s">
        <v>350</v>
      </c>
      <c r="AI117" s="85" t="s">
        <v>28</v>
      </c>
      <c r="AJ117" s="138">
        <v>0.01</v>
      </c>
      <c r="AK117" s="20" t="s">
        <v>82</v>
      </c>
      <c r="AL117" s="84" t="s">
        <v>350</v>
      </c>
      <c r="AM117" s="85" t="s">
        <v>28</v>
      </c>
      <c r="AN117" s="138">
        <v>0.18</v>
      </c>
      <c r="AO117" s="20" t="s">
        <v>82</v>
      </c>
      <c r="AP117" s="84" t="s">
        <v>350</v>
      </c>
      <c r="AQ117" s="85" t="s">
        <v>28</v>
      </c>
      <c r="AR117" s="89">
        <v>0.02</v>
      </c>
      <c r="AS117" s="20" t="s">
        <v>82</v>
      </c>
      <c r="AT117" s="84" t="s">
        <v>350</v>
      </c>
      <c r="AU117" s="85" t="s">
        <v>28</v>
      </c>
      <c r="AV117" s="138"/>
      <c r="AW117" s="20" t="s">
        <v>82</v>
      </c>
      <c r="AX117" s="84" t="s">
        <v>350</v>
      </c>
      <c r="AY117" s="85" t="s">
        <v>28</v>
      </c>
      <c r="AZ117" s="89">
        <v>0.05</v>
      </c>
      <c r="BA117" s="20" t="s">
        <v>82</v>
      </c>
      <c r="BB117" s="84" t="s">
        <v>350</v>
      </c>
      <c r="BC117" s="85" t="s">
        <v>28</v>
      </c>
      <c r="BD117" s="89">
        <v>0.01</v>
      </c>
    </row>
    <row r="118" spans="1:56" ht="18.75" hidden="1">
      <c r="A118" s="20" t="s">
        <v>83</v>
      </c>
      <c r="B118" s="84" t="s">
        <v>254</v>
      </c>
      <c r="C118" s="85" t="s">
        <v>20</v>
      </c>
      <c r="D118" s="229">
        <f>H118+L118+P118+T118+X118+AB118+AF118+AJ118+AN118+AR118+AV118+AZ118+BD118</f>
        <v>0</v>
      </c>
      <c r="E118" s="20" t="s">
        <v>83</v>
      </c>
      <c r="F118" s="84" t="s">
        <v>254</v>
      </c>
      <c r="G118" s="85" t="s">
        <v>20</v>
      </c>
      <c r="H118" s="100"/>
      <c r="I118" s="20" t="s">
        <v>83</v>
      </c>
      <c r="J118" s="84" t="s">
        <v>254</v>
      </c>
      <c r="K118" s="85" t="s">
        <v>20</v>
      </c>
      <c r="L118" s="101"/>
      <c r="M118" s="20" t="s">
        <v>83</v>
      </c>
      <c r="N118" s="84" t="s">
        <v>254</v>
      </c>
      <c r="O118" s="85" t="s">
        <v>20</v>
      </c>
      <c r="P118" s="99"/>
      <c r="Q118" s="20" t="s">
        <v>83</v>
      </c>
      <c r="R118" s="84" t="s">
        <v>254</v>
      </c>
      <c r="S118" s="85" t="s">
        <v>20</v>
      </c>
      <c r="T118" s="99"/>
      <c r="U118" s="20" t="s">
        <v>83</v>
      </c>
      <c r="V118" s="84" t="s">
        <v>254</v>
      </c>
      <c r="W118" s="85" t="s">
        <v>20</v>
      </c>
      <c r="X118" s="99"/>
      <c r="Y118" s="20" t="s">
        <v>83</v>
      </c>
      <c r="Z118" s="84" t="s">
        <v>254</v>
      </c>
      <c r="AA118" s="85" t="s">
        <v>20</v>
      </c>
      <c r="AB118" s="99"/>
      <c r="AC118" s="20" t="s">
        <v>83</v>
      </c>
      <c r="AD118" s="84" t="s">
        <v>254</v>
      </c>
      <c r="AE118" s="85" t="s">
        <v>20</v>
      </c>
      <c r="AF118" s="99"/>
      <c r="AG118" s="20" t="s">
        <v>83</v>
      </c>
      <c r="AH118" s="84" t="s">
        <v>254</v>
      </c>
      <c r="AI118" s="85" t="s">
        <v>20</v>
      </c>
      <c r="AJ118" s="139"/>
      <c r="AK118" s="20" t="s">
        <v>83</v>
      </c>
      <c r="AL118" s="84" t="s">
        <v>254</v>
      </c>
      <c r="AM118" s="85" t="s">
        <v>20</v>
      </c>
      <c r="AN118" s="139"/>
      <c r="AO118" s="20" t="s">
        <v>83</v>
      </c>
      <c r="AP118" s="84" t="s">
        <v>254</v>
      </c>
      <c r="AQ118" s="85" t="s">
        <v>20</v>
      </c>
      <c r="AR118" s="99"/>
      <c r="AS118" s="20" t="s">
        <v>83</v>
      </c>
      <c r="AT118" s="84" t="s">
        <v>254</v>
      </c>
      <c r="AU118" s="85" t="s">
        <v>20</v>
      </c>
      <c r="AV118" s="99"/>
      <c r="AW118" s="20" t="s">
        <v>83</v>
      </c>
      <c r="AX118" s="84" t="s">
        <v>254</v>
      </c>
      <c r="AY118" s="85" t="s">
        <v>20</v>
      </c>
      <c r="AZ118" s="99"/>
      <c r="BA118" s="20" t="s">
        <v>83</v>
      </c>
      <c r="BB118" s="84" t="s">
        <v>254</v>
      </c>
      <c r="BC118" s="85" t="s">
        <v>20</v>
      </c>
      <c r="BD118" s="99"/>
    </row>
    <row r="119" spans="1:56" s="519" customFormat="1" ht="18.75" hidden="1">
      <c r="A119" s="20" t="s">
        <v>84</v>
      </c>
      <c r="B119" s="336" t="s">
        <v>255</v>
      </c>
      <c r="C119" s="337" t="s">
        <v>10</v>
      </c>
      <c r="D119" s="517">
        <f>(H119+L119+P119+T119+X119+AB119+AF119+AJ119+AN119+AR119+AV119+AZ119+BD119)</f>
        <v>0</v>
      </c>
      <c r="E119" s="20" t="s">
        <v>84</v>
      </c>
      <c r="F119" s="336" t="s">
        <v>255</v>
      </c>
      <c r="G119" s="337" t="s">
        <v>10</v>
      </c>
      <c r="H119" s="512"/>
      <c r="I119" s="20" t="s">
        <v>84</v>
      </c>
      <c r="J119" s="336" t="s">
        <v>255</v>
      </c>
      <c r="K119" s="337" t="s">
        <v>10</v>
      </c>
      <c r="L119" s="518"/>
      <c r="M119" s="20" t="s">
        <v>84</v>
      </c>
      <c r="N119" s="336" t="s">
        <v>255</v>
      </c>
      <c r="O119" s="337" t="s">
        <v>10</v>
      </c>
      <c r="P119" s="358"/>
      <c r="Q119" s="20" t="s">
        <v>84</v>
      </c>
      <c r="R119" s="336" t="s">
        <v>255</v>
      </c>
      <c r="S119" s="337" t="s">
        <v>10</v>
      </c>
      <c r="T119" s="358"/>
      <c r="U119" s="20" t="s">
        <v>84</v>
      </c>
      <c r="V119" s="336" t="s">
        <v>255</v>
      </c>
      <c r="W119" s="337" t="s">
        <v>10</v>
      </c>
      <c r="X119" s="358"/>
      <c r="Y119" s="20" t="s">
        <v>84</v>
      </c>
      <c r="Z119" s="336" t="s">
        <v>255</v>
      </c>
      <c r="AA119" s="337" t="s">
        <v>10</v>
      </c>
      <c r="AB119" s="358"/>
      <c r="AC119" s="20" t="s">
        <v>84</v>
      </c>
      <c r="AD119" s="336" t="s">
        <v>255</v>
      </c>
      <c r="AE119" s="337" t="s">
        <v>10</v>
      </c>
      <c r="AF119" s="358"/>
      <c r="AG119" s="20" t="s">
        <v>84</v>
      </c>
      <c r="AH119" s="336" t="s">
        <v>255</v>
      </c>
      <c r="AI119" s="337" t="s">
        <v>10</v>
      </c>
      <c r="AJ119" s="518"/>
      <c r="AK119" s="20" t="s">
        <v>84</v>
      </c>
      <c r="AL119" s="336" t="s">
        <v>255</v>
      </c>
      <c r="AM119" s="337" t="s">
        <v>10</v>
      </c>
      <c r="AN119" s="518"/>
      <c r="AO119" s="20" t="s">
        <v>84</v>
      </c>
      <c r="AP119" s="336" t="s">
        <v>255</v>
      </c>
      <c r="AQ119" s="337" t="s">
        <v>10</v>
      </c>
      <c r="AR119" s="518"/>
      <c r="AS119" s="20" t="s">
        <v>84</v>
      </c>
      <c r="AT119" s="336" t="s">
        <v>255</v>
      </c>
      <c r="AU119" s="337" t="s">
        <v>10</v>
      </c>
      <c r="AV119" s="518"/>
      <c r="AW119" s="20" t="s">
        <v>84</v>
      </c>
      <c r="AX119" s="336" t="s">
        <v>255</v>
      </c>
      <c r="AY119" s="337" t="s">
        <v>10</v>
      </c>
      <c r="AZ119" s="518"/>
      <c r="BA119" s="20" t="s">
        <v>84</v>
      </c>
      <c r="BB119" s="336" t="s">
        <v>255</v>
      </c>
      <c r="BC119" s="337" t="s">
        <v>10</v>
      </c>
      <c r="BD119" s="358"/>
    </row>
    <row r="120" spans="1:56" ht="18.75">
      <c r="A120" s="20" t="s">
        <v>85</v>
      </c>
      <c r="B120" s="84" t="s">
        <v>33</v>
      </c>
      <c r="C120" s="85" t="s">
        <v>11</v>
      </c>
      <c r="D120" s="229">
        <f>H120+L120+P120+T120+X120+AB120+AF120+AJ120+AN120+AR120+AV120+AZ120+BD120</f>
        <v>13</v>
      </c>
      <c r="E120" s="20" t="s">
        <v>85</v>
      </c>
      <c r="F120" s="84" t="s">
        <v>33</v>
      </c>
      <c r="G120" s="85" t="s">
        <v>11</v>
      </c>
      <c r="H120" s="101">
        <v>1</v>
      </c>
      <c r="I120" s="20" t="s">
        <v>85</v>
      </c>
      <c r="J120" s="84" t="s">
        <v>33</v>
      </c>
      <c r="K120" s="85" t="s">
        <v>11</v>
      </c>
      <c r="L120" s="101">
        <v>1</v>
      </c>
      <c r="M120" s="20" t="s">
        <v>85</v>
      </c>
      <c r="N120" s="84" t="s">
        <v>33</v>
      </c>
      <c r="O120" s="85" t="s">
        <v>11</v>
      </c>
      <c r="P120" s="101">
        <v>1</v>
      </c>
      <c r="Q120" s="20" t="s">
        <v>85</v>
      </c>
      <c r="R120" s="84" t="s">
        <v>33</v>
      </c>
      <c r="S120" s="85" t="s">
        <v>11</v>
      </c>
      <c r="T120" s="101">
        <v>1</v>
      </c>
      <c r="U120" s="20" t="s">
        <v>85</v>
      </c>
      <c r="V120" s="84" t="s">
        <v>33</v>
      </c>
      <c r="W120" s="85" t="s">
        <v>11</v>
      </c>
      <c r="X120" s="101">
        <v>1</v>
      </c>
      <c r="Y120" s="20" t="s">
        <v>85</v>
      </c>
      <c r="Z120" s="84" t="s">
        <v>33</v>
      </c>
      <c r="AA120" s="85" t="s">
        <v>11</v>
      </c>
      <c r="AB120" s="101">
        <v>1</v>
      </c>
      <c r="AC120" s="20" t="s">
        <v>85</v>
      </c>
      <c r="AD120" s="84" t="s">
        <v>33</v>
      </c>
      <c r="AE120" s="85" t="s">
        <v>11</v>
      </c>
      <c r="AF120" s="101">
        <v>1</v>
      </c>
      <c r="AG120" s="20" t="s">
        <v>85</v>
      </c>
      <c r="AH120" s="84" t="s">
        <v>33</v>
      </c>
      <c r="AI120" s="85" t="s">
        <v>11</v>
      </c>
      <c r="AJ120" s="112">
        <v>1</v>
      </c>
      <c r="AK120" s="20" t="s">
        <v>85</v>
      </c>
      <c r="AL120" s="84" t="s">
        <v>33</v>
      </c>
      <c r="AM120" s="85" t="s">
        <v>11</v>
      </c>
      <c r="AN120" s="112">
        <v>1</v>
      </c>
      <c r="AO120" s="20" t="s">
        <v>85</v>
      </c>
      <c r="AP120" s="84" t="s">
        <v>33</v>
      </c>
      <c r="AQ120" s="85" t="s">
        <v>11</v>
      </c>
      <c r="AR120" s="101">
        <v>1</v>
      </c>
      <c r="AS120" s="20" t="s">
        <v>85</v>
      </c>
      <c r="AT120" s="84" t="s">
        <v>33</v>
      </c>
      <c r="AU120" s="85" t="s">
        <v>11</v>
      </c>
      <c r="AV120" s="101">
        <v>1</v>
      </c>
      <c r="AW120" s="20" t="s">
        <v>85</v>
      </c>
      <c r="AX120" s="84" t="s">
        <v>33</v>
      </c>
      <c r="AY120" s="85" t="s">
        <v>11</v>
      </c>
      <c r="AZ120" s="101">
        <v>1</v>
      </c>
      <c r="BA120" s="20" t="s">
        <v>85</v>
      </c>
      <c r="BB120" s="84" t="s">
        <v>33</v>
      </c>
      <c r="BC120" s="85" t="s">
        <v>11</v>
      </c>
      <c r="BD120" s="101">
        <v>1</v>
      </c>
    </row>
    <row r="121" spans="1:56" ht="18.75">
      <c r="A121" s="20" t="s">
        <v>86</v>
      </c>
      <c r="B121" s="84" t="s">
        <v>34</v>
      </c>
      <c r="C121" s="85" t="s">
        <v>11</v>
      </c>
      <c r="D121" s="229">
        <f>H121+L121+P121+T121+X121+AB121+AF121+AJ121+AN121+AR121+AV121+AZ121+BD121</f>
        <v>13</v>
      </c>
      <c r="E121" s="20" t="s">
        <v>86</v>
      </c>
      <c r="F121" s="84" t="s">
        <v>34</v>
      </c>
      <c r="G121" s="85" t="s">
        <v>11</v>
      </c>
      <c r="H121" s="101">
        <v>1</v>
      </c>
      <c r="I121" s="20" t="s">
        <v>86</v>
      </c>
      <c r="J121" s="84" t="s">
        <v>34</v>
      </c>
      <c r="K121" s="85" t="s">
        <v>11</v>
      </c>
      <c r="L121" s="101">
        <v>1</v>
      </c>
      <c r="M121" s="20" t="s">
        <v>86</v>
      </c>
      <c r="N121" s="84" t="s">
        <v>34</v>
      </c>
      <c r="O121" s="85" t="s">
        <v>11</v>
      </c>
      <c r="P121" s="101">
        <v>1</v>
      </c>
      <c r="Q121" s="20" t="s">
        <v>86</v>
      </c>
      <c r="R121" s="84" t="s">
        <v>34</v>
      </c>
      <c r="S121" s="85" t="s">
        <v>11</v>
      </c>
      <c r="T121" s="101">
        <v>1</v>
      </c>
      <c r="U121" s="20" t="s">
        <v>86</v>
      </c>
      <c r="V121" s="84" t="s">
        <v>34</v>
      </c>
      <c r="W121" s="85" t="s">
        <v>11</v>
      </c>
      <c r="X121" s="101">
        <v>1</v>
      </c>
      <c r="Y121" s="20" t="s">
        <v>86</v>
      </c>
      <c r="Z121" s="84" t="s">
        <v>34</v>
      </c>
      <c r="AA121" s="85" t="s">
        <v>11</v>
      </c>
      <c r="AB121" s="101">
        <v>1</v>
      </c>
      <c r="AC121" s="20" t="s">
        <v>86</v>
      </c>
      <c r="AD121" s="84" t="s">
        <v>34</v>
      </c>
      <c r="AE121" s="85" t="s">
        <v>11</v>
      </c>
      <c r="AF121" s="101">
        <v>1</v>
      </c>
      <c r="AG121" s="20" t="s">
        <v>86</v>
      </c>
      <c r="AH121" s="84" t="s">
        <v>34</v>
      </c>
      <c r="AI121" s="85" t="s">
        <v>11</v>
      </c>
      <c r="AJ121" s="112">
        <v>1</v>
      </c>
      <c r="AK121" s="20" t="s">
        <v>86</v>
      </c>
      <c r="AL121" s="84" t="s">
        <v>34</v>
      </c>
      <c r="AM121" s="85" t="s">
        <v>11</v>
      </c>
      <c r="AN121" s="112">
        <v>1</v>
      </c>
      <c r="AO121" s="20" t="s">
        <v>86</v>
      </c>
      <c r="AP121" s="84" t="s">
        <v>34</v>
      </c>
      <c r="AQ121" s="85" t="s">
        <v>11</v>
      </c>
      <c r="AR121" s="101">
        <v>1</v>
      </c>
      <c r="AS121" s="20" t="s">
        <v>86</v>
      </c>
      <c r="AT121" s="84" t="s">
        <v>34</v>
      </c>
      <c r="AU121" s="85" t="s">
        <v>11</v>
      </c>
      <c r="AV121" s="101">
        <v>1</v>
      </c>
      <c r="AW121" s="20" t="s">
        <v>86</v>
      </c>
      <c r="AX121" s="84" t="s">
        <v>34</v>
      </c>
      <c r="AY121" s="85" t="s">
        <v>11</v>
      </c>
      <c r="AZ121" s="101">
        <v>1</v>
      </c>
      <c r="BA121" s="20" t="s">
        <v>86</v>
      </c>
      <c r="BB121" s="84" t="s">
        <v>34</v>
      </c>
      <c r="BC121" s="85" t="s">
        <v>11</v>
      </c>
      <c r="BD121" s="101">
        <v>1</v>
      </c>
    </row>
    <row r="122" spans="1:56" s="69" customFormat="1" ht="18.75">
      <c r="A122" s="20" t="s">
        <v>87</v>
      </c>
      <c r="B122" s="110" t="s">
        <v>58</v>
      </c>
      <c r="C122" s="111" t="s">
        <v>20</v>
      </c>
      <c r="D122" s="239">
        <f>(H122+L122+P122+T122+X122+AB122+AF122+AJ122+AN122+AR122+AV122+AZ122+BD122)</f>
        <v>2</v>
      </c>
      <c r="E122" s="20" t="s">
        <v>87</v>
      </c>
      <c r="F122" s="110" t="s">
        <v>58</v>
      </c>
      <c r="G122" s="111" t="s">
        <v>20</v>
      </c>
      <c r="H122" s="112"/>
      <c r="I122" s="20" t="s">
        <v>87</v>
      </c>
      <c r="J122" s="110" t="s">
        <v>58</v>
      </c>
      <c r="K122" s="111" t="s">
        <v>20</v>
      </c>
      <c r="L122" s="112"/>
      <c r="M122" s="20" t="s">
        <v>87</v>
      </c>
      <c r="N122" s="110" t="s">
        <v>58</v>
      </c>
      <c r="O122" s="111" t="s">
        <v>20</v>
      </c>
      <c r="P122" s="139"/>
      <c r="Q122" s="20" t="s">
        <v>87</v>
      </c>
      <c r="R122" s="110" t="s">
        <v>58</v>
      </c>
      <c r="S122" s="111" t="s">
        <v>20</v>
      </c>
      <c r="T122" s="112"/>
      <c r="U122" s="20" t="s">
        <v>87</v>
      </c>
      <c r="V122" s="110" t="s">
        <v>58</v>
      </c>
      <c r="W122" s="111" t="s">
        <v>20</v>
      </c>
      <c r="X122" s="139"/>
      <c r="Y122" s="20" t="s">
        <v>87</v>
      </c>
      <c r="Z122" s="110" t="s">
        <v>58</v>
      </c>
      <c r="AA122" s="111" t="s">
        <v>20</v>
      </c>
      <c r="AB122" s="112">
        <v>1</v>
      </c>
      <c r="AC122" s="20" t="s">
        <v>87</v>
      </c>
      <c r="AD122" s="110" t="s">
        <v>58</v>
      </c>
      <c r="AE122" s="111" t="s">
        <v>20</v>
      </c>
      <c r="AF122" s="112"/>
      <c r="AG122" s="20" t="s">
        <v>87</v>
      </c>
      <c r="AH122" s="110" t="s">
        <v>58</v>
      </c>
      <c r="AI122" s="111" t="s">
        <v>20</v>
      </c>
      <c r="AJ122" s="112"/>
      <c r="AK122" s="20" t="s">
        <v>87</v>
      </c>
      <c r="AL122" s="110" t="s">
        <v>58</v>
      </c>
      <c r="AM122" s="111" t="s">
        <v>20</v>
      </c>
      <c r="AN122" s="112">
        <v>1</v>
      </c>
      <c r="AO122" s="20" t="s">
        <v>87</v>
      </c>
      <c r="AP122" s="110" t="s">
        <v>58</v>
      </c>
      <c r="AQ122" s="111" t="s">
        <v>20</v>
      </c>
      <c r="AR122" s="112"/>
      <c r="AS122" s="20" t="s">
        <v>87</v>
      </c>
      <c r="AT122" s="110" t="s">
        <v>58</v>
      </c>
      <c r="AU122" s="111" t="s">
        <v>20</v>
      </c>
      <c r="AV122" s="139"/>
      <c r="AW122" s="20" t="s">
        <v>87</v>
      </c>
      <c r="AX122" s="110" t="s">
        <v>58</v>
      </c>
      <c r="AY122" s="111" t="s">
        <v>20</v>
      </c>
      <c r="AZ122" s="112"/>
      <c r="BA122" s="20" t="s">
        <v>87</v>
      </c>
      <c r="BB122" s="110" t="s">
        <v>58</v>
      </c>
      <c r="BC122" s="111" t="s">
        <v>20</v>
      </c>
      <c r="BD122" s="139"/>
    </row>
    <row r="123" spans="1:56" s="69" customFormat="1" ht="18.75" hidden="1">
      <c r="A123" s="574"/>
      <c r="B123" s="110"/>
      <c r="C123" s="111"/>
      <c r="D123" s="239"/>
      <c r="E123" s="574"/>
      <c r="F123" s="110"/>
      <c r="G123" s="111"/>
      <c r="H123" s="112"/>
      <c r="I123" s="574"/>
      <c r="J123" s="110"/>
      <c r="K123" s="111"/>
      <c r="L123" s="112"/>
      <c r="M123" s="574"/>
      <c r="N123" s="110"/>
      <c r="O123" s="111"/>
      <c r="P123" s="139"/>
      <c r="Q123" s="574"/>
      <c r="R123" s="110"/>
      <c r="S123" s="111"/>
      <c r="T123" s="112"/>
      <c r="U123" s="574"/>
      <c r="V123" s="110"/>
      <c r="W123" s="111"/>
      <c r="X123" s="139"/>
      <c r="Y123" s="574"/>
      <c r="Z123" s="110"/>
      <c r="AA123" s="111"/>
      <c r="AB123" s="112"/>
      <c r="AC123" s="574"/>
      <c r="AD123" s="110"/>
      <c r="AE123" s="111"/>
      <c r="AF123" s="112"/>
      <c r="AG123" s="574"/>
      <c r="AH123" s="110"/>
      <c r="AI123" s="111"/>
      <c r="AJ123" s="112"/>
      <c r="AK123" s="574"/>
      <c r="AL123" s="110"/>
      <c r="AM123" s="111"/>
      <c r="AN123" s="112"/>
      <c r="AO123" s="574"/>
      <c r="AP123" s="110"/>
      <c r="AQ123" s="111"/>
      <c r="AR123" s="112"/>
      <c r="AS123" s="574"/>
      <c r="AT123" s="110"/>
      <c r="AU123" s="111"/>
      <c r="AV123" s="139"/>
      <c r="AW123" s="574"/>
      <c r="AX123" s="110"/>
      <c r="AY123" s="111"/>
      <c r="AZ123" s="112"/>
      <c r="BA123" s="574"/>
      <c r="BB123" s="110"/>
      <c r="BC123" s="111"/>
      <c r="BD123" s="139"/>
    </row>
    <row r="124" spans="1:56" ht="18.75">
      <c r="A124" s="20" t="s">
        <v>360</v>
      </c>
      <c r="B124" s="84" t="s">
        <v>30</v>
      </c>
      <c r="C124" s="85" t="s">
        <v>25</v>
      </c>
      <c r="D124" s="232"/>
      <c r="E124" s="20" t="s">
        <v>360</v>
      </c>
      <c r="F124" s="84" t="s">
        <v>30</v>
      </c>
      <c r="G124" s="85" t="s">
        <v>25</v>
      </c>
      <c r="H124" s="100"/>
      <c r="I124" s="20" t="s">
        <v>360</v>
      </c>
      <c r="J124" s="84" t="s">
        <v>30</v>
      </c>
      <c r="K124" s="85" t="s">
        <v>25</v>
      </c>
      <c r="L124" s="99"/>
      <c r="M124" s="20" t="s">
        <v>360</v>
      </c>
      <c r="N124" s="84" t="s">
        <v>30</v>
      </c>
      <c r="O124" s="85" t="s">
        <v>25</v>
      </c>
      <c r="P124" s="99"/>
      <c r="Q124" s="20" t="s">
        <v>360</v>
      </c>
      <c r="R124" s="84" t="s">
        <v>30</v>
      </c>
      <c r="S124" s="85" t="s">
        <v>25</v>
      </c>
      <c r="T124" s="99"/>
      <c r="U124" s="20" t="s">
        <v>360</v>
      </c>
      <c r="V124" s="84" t="s">
        <v>30</v>
      </c>
      <c r="W124" s="85" t="s">
        <v>25</v>
      </c>
      <c r="X124" s="99"/>
      <c r="Y124" s="20" t="s">
        <v>360</v>
      </c>
      <c r="Z124" s="84" t="s">
        <v>30</v>
      </c>
      <c r="AA124" s="85" t="s">
        <v>25</v>
      </c>
      <c r="AB124" s="99"/>
      <c r="AC124" s="20" t="s">
        <v>360</v>
      </c>
      <c r="AD124" s="84" t="s">
        <v>30</v>
      </c>
      <c r="AE124" s="85" t="s">
        <v>25</v>
      </c>
      <c r="AF124" s="99"/>
      <c r="AG124" s="20" t="s">
        <v>360</v>
      </c>
      <c r="AH124" s="84" t="s">
        <v>30</v>
      </c>
      <c r="AI124" s="85" t="s">
        <v>25</v>
      </c>
      <c r="AJ124" s="99"/>
      <c r="AK124" s="20" t="s">
        <v>360</v>
      </c>
      <c r="AL124" s="84" t="s">
        <v>30</v>
      </c>
      <c r="AM124" s="85" t="s">
        <v>25</v>
      </c>
      <c r="AN124" s="99"/>
      <c r="AO124" s="20" t="s">
        <v>360</v>
      </c>
      <c r="AP124" s="84" t="s">
        <v>30</v>
      </c>
      <c r="AQ124" s="85" t="s">
        <v>25</v>
      </c>
      <c r="AR124" s="99"/>
      <c r="AS124" s="20" t="s">
        <v>360</v>
      </c>
      <c r="AT124" s="84" t="s">
        <v>30</v>
      </c>
      <c r="AU124" s="85" t="s">
        <v>25</v>
      </c>
      <c r="AV124" s="99"/>
      <c r="AW124" s="20" t="s">
        <v>360</v>
      </c>
      <c r="AX124" s="84" t="s">
        <v>30</v>
      </c>
      <c r="AY124" s="85" t="s">
        <v>25</v>
      </c>
      <c r="AZ124" s="99"/>
      <c r="BA124" s="20" t="s">
        <v>360</v>
      </c>
      <c r="BB124" s="84" t="s">
        <v>30</v>
      </c>
      <c r="BC124" s="85" t="s">
        <v>25</v>
      </c>
      <c r="BD124" s="99"/>
    </row>
    <row r="125" spans="1:56" s="133" customFormat="1" ht="18.75" customHeight="1" hidden="1">
      <c r="A125" s="20" t="s">
        <v>361</v>
      </c>
      <c r="B125" s="75" t="s">
        <v>31</v>
      </c>
      <c r="C125" s="128" t="s">
        <v>15</v>
      </c>
      <c r="D125" s="233">
        <f>H125+L125+P125+T125+X125+AB125+AF125+AJ125+AN125+AR125+AV125+AZ125+BD125</f>
        <v>0</v>
      </c>
      <c r="E125" s="20" t="s">
        <v>361</v>
      </c>
      <c r="F125" s="75" t="s">
        <v>31</v>
      </c>
      <c r="G125" s="128" t="s">
        <v>15</v>
      </c>
      <c r="H125" s="132"/>
      <c r="I125" s="20" t="s">
        <v>361</v>
      </c>
      <c r="J125" s="75" t="s">
        <v>31</v>
      </c>
      <c r="K125" s="128" t="s">
        <v>15</v>
      </c>
      <c r="L125" s="130"/>
      <c r="M125" s="20" t="s">
        <v>361</v>
      </c>
      <c r="N125" s="75" t="s">
        <v>31</v>
      </c>
      <c r="O125" s="128" t="s">
        <v>15</v>
      </c>
      <c r="P125" s="130"/>
      <c r="Q125" s="20" t="s">
        <v>361</v>
      </c>
      <c r="R125" s="75" t="s">
        <v>31</v>
      </c>
      <c r="S125" s="128" t="s">
        <v>15</v>
      </c>
      <c r="T125" s="130"/>
      <c r="U125" s="20" t="s">
        <v>361</v>
      </c>
      <c r="V125" s="75" t="s">
        <v>31</v>
      </c>
      <c r="W125" s="128" t="s">
        <v>15</v>
      </c>
      <c r="X125" s="130"/>
      <c r="Y125" s="20" t="s">
        <v>361</v>
      </c>
      <c r="Z125" s="75" t="s">
        <v>31</v>
      </c>
      <c r="AA125" s="128" t="s">
        <v>15</v>
      </c>
      <c r="AB125" s="130"/>
      <c r="AC125" s="20" t="s">
        <v>361</v>
      </c>
      <c r="AD125" s="75" t="s">
        <v>31</v>
      </c>
      <c r="AE125" s="128" t="s">
        <v>15</v>
      </c>
      <c r="AF125" s="130"/>
      <c r="AG125" s="20" t="s">
        <v>361</v>
      </c>
      <c r="AH125" s="75" t="s">
        <v>31</v>
      </c>
      <c r="AI125" s="128" t="s">
        <v>15</v>
      </c>
      <c r="AJ125" s="130"/>
      <c r="AK125" s="20" t="s">
        <v>361</v>
      </c>
      <c r="AL125" s="75" t="s">
        <v>31</v>
      </c>
      <c r="AM125" s="128" t="s">
        <v>15</v>
      </c>
      <c r="AN125" s="130"/>
      <c r="AO125" s="20" t="s">
        <v>361</v>
      </c>
      <c r="AP125" s="75" t="s">
        <v>31</v>
      </c>
      <c r="AQ125" s="128" t="s">
        <v>15</v>
      </c>
      <c r="AR125" s="130"/>
      <c r="AS125" s="20" t="s">
        <v>361</v>
      </c>
      <c r="AT125" s="75" t="s">
        <v>31</v>
      </c>
      <c r="AU125" s="128" t="s">
        <v>15</v>
      </c>
      <c r="AV125" s="130"/>
      <c r="AW125" s="20" t="s">
        <v>361</v>
      </c>
      <c r="AX125" s="75" t="s">
        <v>31</v>
      </c>
      <c r="AY125" s="128" t="s">
        <v>15</v>
      </c>
      <c r="AZ125" s="130"/>
      <c r="BA125" s="20" t="s">
        <v>361</v>
      </c>
      <c r="BB125" s="75" t="s">
        <v>31</v>
      </c>
      <c r="BC125" s="128" t="s">
        <v>15</v>
      </c>
      <c r="BD125" s="130"/>
    </row>
    <row r="126" spans="1:56" ht="18.75">
      <c r="A126" s="39"/>
      <c r="B126" s="103" t="s">
        <v>216</v>
      </c>
      <c r="C126" s="104"/>
      <c r="D126" s="236"/>
      <c r="E126" s="39"/>
      <c r="F126" s="103" t="s">
        <v>216</v>
      </c>
      <c r="G126" s="104"/>
      <c r="H126" s="107"/>
      <c r="I126" s="39"/>
      <c r="J126" s="103" t="s">
        <v>216</v>
      </c>
      <c r="K126" s="104"/>
      <c r="L126" s="105"/>
      <c r="M126" s="39"/>
      <c r="N126" s="103" t="s">
        <v>216</v>
      </c>
      <c r="O126" s="104"/>
      <c r="P126" s="105"/>
      <c r="Q126" s="39"/>
      <c r="R126" s="103" t="s">
        <v>216</v>
      </c>
      <c r="S126" s="104"/>
      <c r="T126" s="105"/>
      <c r="U126" s="39"/>
      <c r="V126" s="103" t="s">
        <v>216</v>
      </c>
      <c r="W126" s="104"/>
      <c r="X126" s="105"/>
      <c r="Y126" s="39"/>
      <c r="Z126" s="103" t="s">
        <v>216</v>
      </c>
      <c r="AA126" s="104"/>
      <c r="AB126" s="105"/>
      <c r="AC126" s="39"/>
      <c r="AD126" s="103" t="s">
        <v>216</v>
      </c>
      <c r="AE126" s="104"/>
      <c r="AF126" s="105"/>
      <c r="AG126" s="39"/>
      <c r="AH126" s="103" t="s">
        <v>216</v>
      </c>
      <c r="AI126" s="104"/>
      <c r="AJ126" s="105"/>
      <c r="AK126" s="39"/>
      <c r="AL126" s="103" t="s">
        <v>216</v>
      </c>
      <c r="AM126" s="104"/>
      <c r="AN126" s="105"/>
      <c r="AO126" s="39"/>
      <c r="AP126" s="103" t="s">
        <v>216</v>
      </c>
      <c r="AQ126" s="104"/>
      <c r="AR126" s="105"/>
      <c r="AS126" s="39"/>
      <c r="AT126" s="103" t="s">
        <v>216</v>
      </c>
      <c r="AU126" s="104"/>
      <c r="AV126" s="105"/>
      <c r="AW126" s="39"/>
      <c r="AX126" s="103" t="s">
        <v>216</v>
      </c>
      <c r="AY126" s="104"/>
      <c r="AZ126" s="105"/>
      <c r="BA126" s="39"/>
      <c r="BB126" s="103" t="s">
        <v>216</v>
      </c>
      <c r="BC126" s="104"/>
      <c r="BD126" s="105"/>
    </row>
    <row r="127" spans="1:56" s="235" customFormat="1" ht="18.75">
      <c r="A127" s="397" t="s">
        <v>411</v>
      </c>
      <c r="B127" s="372" t="s">
        <v>39</v>
      </c>
      <c r="C127" s="398"/>
      <c r="D127" s="231"/>
      <c r="E127" s="397" t="s">
        <v>411</v>
      </c>
      <c r="F127" s="372" t="s">
        <v>39</v>
      </c>
      <c r="G127" s="398"/>
      <c r="H127" s="402"/>
      <c r="I127" s="397" t="s">
        <v>411</v>
      </c>
      <c r="J127" s="372" t="s">
        <v>39</v>
      </c>
      <c r="K127" s="398"/>
      <c r="L127" s="231"/>
      <c r="M127" s="397" t="s">
        <v>411</v>
      </c>
      <c r="N127" s="372" t="s">
        <v>39</v>
      </c>
      <c r="O127" s="398"/>
      <c r="P127" s="231"/>
      <c r="Q127" s="397" t="s">
        <v>411</v>
      </c>
      <c r="R127" s="372" t="s">
        <v>39</v>
      </c>
      <c r="S127" s="398"/>
      <c r="T127" s="231"/>
      <c r="U127" s="397" t="s">
        <v>411</v>
      </c>
      <c r="V127" s="372" t="s">
        <v>39</v>
      </c>
      <c r="W127" s="398"/>
      <c r="X127" s="231"/>
      <c r="Y127" s="397" t="s">
        <v>411</v>
      </c>
      <c r="Z127" s="372" t="s">
        <v>39</v>
      </c>
      <c r="AA127" s="398"/>
      <c r="AB127" s="231"/>
      <c r="AC127" s="397" t="s">
        <v>411</v>
      </c>
      <c r="AD127" s="372" t="s">
        <v>39</v>
      </c>
      <c r="AE127" s="398"/>
      <c r="AF127" s="231"/>
      <c r="AG127" s="397" t="s">
        <v>411</v>
      </c>
      <c r="AH127" s="372" t="s">
        <v>39</v>
      </c>
      <c r="AI127" s="398"/>
      <c r="AJ127" s="231"/>
      <c r="AK127" s="397" t="s">
        <v>411</v>
      </c>
      <c r="AL127" s="372" t="s">
        <v>39</v>
      </c>
      <c r="AM127" s="398"/>
      <c r="AN127" s="231"/>
      <c r="AO127" s="397" t="s">
        <v>411</v>
      </c>
      <c r="AP127" s="372" t="s">
        <v>39</v>
      </c>
      <c r="AQ127" s="398"/>
      <c r="AR127" s="231"/>
      <c r="AS127" s="397" t="s">
        <v>411</v>
      </c>
      <c r="AT127" s="372" t="s">
        <v>39</v>
      </c>
      <c r="AU127" s="398"/>
      <c r="AV127" s="231"/>
      <c r="AW127" s="397" t="s">
        <v>411</v>
      </c>
      <c r="AX127" s="372" t="s">
        <v>39</v>
      </c>
      <c r="AY127" s="398"/>
      <c r="AZ127" s="231"/>
      <c r="BA127" s="397" t="s">
        <v>411</v>
      </c>
      <c r="BB127" s="372" t="s">
        <v>39</v>
      </c>
      <c r="BC127" s="398"/>
      <c r="BD127" s="231"/>
    </row>
    <row r="128" spans="1:56" s="453" customFormat="1" ht="18.75">
      <c r="A128" s="448" t="s">
        <v>222</v>
      </c>
      <c r="B128" s="527" t="s">
        <v>41</v>
      </c>
      <c r="C128" s="449" t="s">
        <v>22</v>
      </c>
      <c r="D128" s="511">
        <f>D129+D130</f>
        <v>1.12</v>
      </c>
      <c r="E128" s="448" t="s">
        <v>222</v>
      </c>
      <c r="F128" s="527" t="s">
        <v>41</v>
      </c>
      <c r="G128" s="449" t="s">
        <v>22</v>
      </c>
      <c r="H128" s="456">
        <f>H129+H130</f>
        <v>0.09</v>
      </c>
      <c r="I128" s="448" t="s">
        <v>222</v>
      </c>
      <c r="J128" s="527" t="s">
        <v>41</v>
      </c>
      <c r="K128" s="449" t="s">
        <v>22</v>
      </c>
      <c r="L128" s="456">
        <f>L129+L130</f>
        <v>0.06</v>
      </c>
      <c r="M128" s="448" t="s">
        <v>222</v>
      </c>
      <c r="N128" s="527" t="s">
        <v>41</v>
      </c>
      <c r="O128" s="449" t="s">
        <v>22</v>
      </c>
      <c r="P128" s="456">
        <f>P129+P130</f>
        <v>0.07</v>
      </c>
      <c r="Q128" s="448" t="s">
        <v>222</v>
      </c>
      <c r="R128" s="527" t="s">
        <v>41</v>
      </c>
      <c r="S128" s="449" t="s">
        <v>22</v>
      </c>
      <c r="T128" s="456">
        <f>T129+T130</f>
        <v>0.07</v>
      </c>
      <c r="U128" s="448" t="s">
        <v>222</v>
      </c>
      <c r="V128" s="527" t="s">
        <v>41</v>
      </c>
      <c r="W128" s="449" t="s">
        <v>22</v>
      </c>
      <c r="X128" s="456">
        <f>X129+X130</f>
        <v>0.06</v>
      </c>
      <c r="Y128" s="448" t="s">
        <v>222</v>
      </c>
      <c r="Z128" s="527" t="s">
        <v>41</v>
      </c>
      <c r="AA128" s="449" t="s">
        <v>22</v>
      </c>
      <c r="AB128" s="456">
        <f>AB129+AB130</f>
        <v>0.22999999999999998</v>
      </c>
      <c r="AC128" s="448" t="s">
        <v>222</v>
      </c>
      <c r="AD128" s="527" t="s">
        <v>41</v>
      </c>
      <c r="AE128" s="449" t="s">
        <v>22</v>
      </c>
      <c r="AF128" s="456">
        <f>AF129+AF130</f>
        <v>0.1</v>
      </c>
      <c r="AG128" s="448" t="s">
        <v>222</v>
      </c>
      <c r="AH128" s="527" t="s">
        <v>41</v>
      </c>
      <c r="AI128" s="449" t="s">
        <v>22</v>
      </c>
      <c r="AJ128" s="456">
        <f>AJ129+AJ130</f>
        <v>0.09</v>
      </c>
      <c r="AK128" s="448" t="s">
        <v>222</v>
      </c>
      <c r="AL128" s="527" t="s">
        <v>41</v>
      </c>
      <c r="AM128" s="449" t="s">
        <v>22</v>
      </c>
      <c r="AN128" s="456">
        <f>AN129+AN130</f>
        <v>0.1</v>
      </c>
      <c r="AO128" s="448" t="s">
        <v>222</v>
      </c>
      <c r="AP128" s="527" t="s">
        <v>41</v>
      </c>
      <c r="AQ128" s="449" t="s">
        <v>22</v>
      </c>
      <c r="AR128" s="456">
        <f>AR129+AR130</f>
        <v>0.09</v>
      </c>
      <c r="AS128" s="448" t="s">
        <v>222</v>
      </c>
      <c r="AT128" s="527" t="s">
        <v>41</v>
      </c>
      <c r="AU128" s="449" t="s">
        <v>22</v>
      </c>
      <c r="AV128" s="456">
        <f>AV129+AV130</f>
        <v>0.06</v>
      </c>
      <c r="AW128" s="448" t="s">
        <v>222</v>
      </c>
      <c r="AX128" s="527" t="s">
        <v>41</v>
      </c>
      <c r="AY128" s="449" t="s">
        <v>22</v>
      </c>
      <c r="AZ128" s="456">
        <f>AZ129+AZ130</f>
        <v>0.08</v>
      </c>
      <c r="BA128" s="448" t="s">
        <v>222</v>
      </c>
      <c r="BB128" s="527" t="s">
        <v>41</v>
      </c>
      <c r="BC128" s="449" t="s">
        <v>22</v>
      </c>
      <c r="BD128" s="456">
        <f>BD129+BD130</f>
        <v>0.02</v>
      </c>
    </row>
    <row r="129" spans="1:56" s="251" customFormat="1" ht="18.75">
      <c r="A129" s="20" t="s">
        <v>199</v>
      </c>
      <c r="B129" s="84" t="s">
        <v>349</v>
      </c>
      <c r="C129" s="85" t="s">
        <v>28</v>
      </c>
      <c r="D129" s="232">
        <f>H129+L129+P129+T129+X129+AB129+AF129+AJ129+AN129+AR129+AV129+AZ129+BD129</f>
        <v>0.5800000000000001</v>
      </c>
      <c r="E129" s="20" t="s">
        <v>199</v>
      </c>
      <c r="F129" s="84" t="s">
        <v>349</v>
      </c>
      <c r="G129" s="85" t="s">
        <v>28</v>
      </c>
      <c r="H129" s="89">
        <v>0.06</v>
      </c>
      <c r="I129" s="20" t="s">
        <v>199</v>
      </c>
      <c r="J129" s="84" t="s">
        <v>349</v>
      </c>
      <c r="K129" s="85" t="s">
        <v>28</v>
      </c>
      <c r="L129" s="89">
        <v>0.04</v>
      </c>
      <c r="M129" s="20" t="s">
        <v>199</v>
      </c>
      <c r="N129" s="84" t="s">
        <v>349</v>
      </c>
      <c r="O129" s="85" t="s">
        <v>28</v>
      </c>
      <c r="P129" s="89">
        <v>0.04</v>
      </c>
      <c r="Q129" s="20" t="s">
        <v>199</v>
      </c>
      <c r="R129" s="84" t="s">
        <v>349</v>
      </c>
      <c r="S129" s="85" t="s">
        <v>28</v>
      </c>
      <c r="T129" s="89">
        <v>0.04</v>
      </c>
      <c r="U129" s="20" t="s">
        <v>199</v>
      </c>
      <c r="V129" s="84" t="s">
        <v>349</v>
      </c>
      <c r="W129" s="85" t="s">
        <v>28</v>
      </c>
      <c r="X129" s="89">
        <v>0.04</v>
      </c>
      <c r="Y129" s="20" t="s">
        <v>199</v>
      </c>
      <c r="Z129" s="84" t="s">
        <v>349</v>
      </c>
      <c r="AA129" s="85" t="s">
        <v>28</v>
      </c>
      <c r="AB129" s="89">
        <v>0.12</v>
      </c>
      <c r="AC129" s="20" t="s">
        <v>199</v>
      </c>
      <c r="AD129" s="84" t="s">
        <v>349</v>
      </c>
      <c r="AE129" s="85" t="s">
        <v>28</v>
      </c>
      <c r="AF129" s="89">
        <v>0.03</v>
      </c>
      <c r="AG129" s="20" t="s">
        <v>199</v>
      </c>
      <c r="AH129" s="84" t="s">
        <v>349</v>
      </c>
      <c r="AI129" s="85" t="s">
        <v>28</v>
      </c>
      <c r="AJ129" s="89">
        <v>0.03</v>
      </c>
      <c r="AK129" s="20" t="s">
        <v>199</v>
      </c>
      <c r="AL129" s="84" t="s">
        <v>349</v>
      </c>
      <c r="AM129" s="85" t="s">
        <v>28</v>
      </c>
      <c r="AN129" s="89">
        <v>0.08</v>
      </c>
      <c r="AO129" s="20" t="s">
        <v>199</v>
      </c>
      <c r="AP129" s="84" t="s">
        <v>349</v>
      </c>
      <c r="AQ129" s="85" t="s">
        <v>28</v>
      </c>
      <c r="AR129" s="89">
        <v>0.03</v>
      </c>
      <c r="AS129" s="20" t="s">
        <v>199</v>
      </c>
      <c r="AT129" s="84" t="s">
        <v>349</v>
      </c>
      <c r="AU129" s="85" t="s">
        <v>28</v>
      </c>
      <c r="AV129" s="89">
        <v>0.02</v>
      </c>
      <c r="AW129" s="20" t="s">
        <v>199</v>
      </c>
      <c r="AX129" s="84" t="s">
        <v>349</v>
      </c>
      <c r="AY129" s="85" t="s">
        <v>28</v>
      </c>
      <c r="AZ129" s="89">
        <v>0.05</v>
      </c>
      <c r="BA129" s="20" t="s">
        <v>199</v>
      </c>
      <c r="BB129" s="84" t="s">
        <v>349</v>
      </c>
      <c r="BC129" s="85" t="s">
        <v>28</v>
      </c>
      <c r="BD129" s="89"/>
    </row>
    <row r="130" spans="1:56" ht="18.75">
      <c r="A130" s="20" t="s">
        <v>200</v>
      </c>
      <c r="B130" s="84" t="s">
        <v>350</v>
      </c>
      <c r="C130" s="85" t="s">
        <v>28</v>
      </c>
      <c r="D130" s="232">
        <f>H130+L130+P130+T130+X130+AB130+AF130+AJ130+AN130+AR130+AV130+AZ130+BD130</f>
        <v>0.54</v>
      </c>
      <c r="E130" s="20" t="s">
        <v>200</v>
      </c>
      <c r="F130" s="84" t="s">
        <v>350</v>
      </c>
      <c r="G130" s="85" t="s">
        <v>28</v>
      </c>
      <c r="H130" s="89">
        <v>0.03</v>
      </c>
      <c r="I130" s="20" t="s">
        <v>200</v>
      </c>
      <c r="J130" s="84" t="s">
        <v>350</v>
      </c>
      <c r="K130" s="85" t="s">
        <v>28</v>
      </c>
      <c r="L130" s="89">
        <v>0.02</v>
      </c>
      <c r="M130" s="20" t="s">
        <v>200</v>
      </c>
      <c r="N130" s="84" t="s">
        <v>350</v>
      </c>
      <c r="O130" s="85" t="s">
        <v>28</v>
      </c>
      <c r="P130" s="89">
        <v>0.03</v>
      </c>
      <c r="Q130" s="20" t="s">
        <v>200</v>
      </c>
      <c r="R130" s="84" t="s">
        <v>350</v>
      </c>
      <c r="S130" s="85" t="s">
        <v>28</v>
      </c>
      <c r="T130" s="89">
        <v>0.03</v>
      </c>
      <c r="U130" s="20" t="s">
        <v>200</v>
      </c>
      <c r="V130" s="84" t="s">
        <v>350</v>
      </c>
      <c r="W130" s="85" t="s">
        <v>28</v>
      </c>
      <c r="X130" s="89">
        <v>0.02</v>
      </c>
      <c r="Y130" s="20" t="s">
        <v>200</v>
      </c>
      <c r="Z130" s="84" t="s">
        <v>350</v>
      </c>
      <c r="AA130" s="85" t="s">
        <v>28</v>
      </c>
      <c r="AB130" s="89">
        <v>0.11</v>
      </c>
      <c r="AC130" s="20" t="s">
        <v>200</v>
      </c>
      <c r="AD130" s="84" t="s">
        <v>350</v>
      </c>
      <c r="AE130" s="85" t="s">
        <v>28</v>
      </c>
      <c r="AF130" s="89">
        <v>0.07</v>
      </c>
      <c r="AG130" s="20" t="s">
        <v>200</v>
      </c>
      <c r="AH130" s="84" t="s">
        <v>350</v>
      </c>
      <c r="AI130" s="85" t="s">
        <v>28</v>
      </c>
      <c r="AJ130" s="89">
        <v>0.06</v>
      </c>
      <c r="AK130" s="20" t="s">
        <v>200</v>
      </c>
      <c r="AL130" s="84" t="s">
        <v>350</v>
      </c>
      <c r="AM130" s="85" t="s">
        <v>28</v>
      </c>
      <c r="AN130" s="89">
        <v>0.02</v>
      </c>
      <c r="AO130" s="20" t="s">
        <v>200</v>
      </c>
      <c r="AP130" s="84" t="s">
        <v>350</v>
      </c>
      <c r="AQ130" s="85" t="s">
        <v>28</v>
      </c>
      <c r="AR130" s="89">
        <v>0.06</v>
      </c>
      <c r="AS130" s="20" t="s">
        <v>200</v>
      </c>
      <c r="AT130" s="84" t="s">
        <v>350</v>
      </c>
      <c r="AU130" s="85" t="s">
        <v>28</v>
      </c>
      <c r="AV130" s="89">
        <v>0.04</v>
      </c>
      <c r="AW130" s="20" t="s">
        <v>200</v>
      </c>
      <c r="AX130" s="84" t="s">
        <v>350</v>
      </c>
      <c r="AY130" s="85" t="s">
        <v>28</v>
      </c>
      <c r="AZ130" s="89">
        <v>0.03</v>
      </c>
      <c r="BA130" s="20" t="s">
        <v>200</v>
      </c>
      <c r="BB130" s="84" t="s">
        <v>350</v>
      </c>
      <c r="BC130" s="85" t="s">
        <v>28</v>
      </c>
      <c r="BD130" s="89">
        <v>0.02</v>
      </c>
    </row>
    <row r="131" spans="1:56" ht="18.75">
      <c r="A131" s="20" t="s">
        <v>201</v>
      </c>
      <c r="B131" s="84" t="s">
        <v>42</v>
      </c>
      <c r="C131" s="85" t="s">
        <v>11</v>
      </c>
      <c r="D131" s="229">
        <f>H131+L131+P131+T131+X131+AB131+AF131+AJ131+AN131+AR131+AV131+AZ131+BD131</f>
        <v>13</v>
      </c>
      <c r="E131" s="20" t="s">
        <v>201</v>
      </c>
      <c r="F131" s="84" t="s">
        <v>42</v>
      </c>
      <c r="G131" s="85" t="s">
        <v>11</v>
      </c>
      <c r="H131" s="101">
        <v>1</v>
      </c>
      <c r="I131" s="20" t="s">
        <v>201</v>
      </c>
      <c r="J131" s="84" t="s">
        <v>42</v>
      </c>
      <c r="K131" s="85" t="s">
        <v>11</v>
      </c>
      <c r="L131" s="101">
        <v>1</v>
      </c>
      <c r="M131" s="20" t="s">
        <v>201</v>
      </c>
      <c r="N131" s="84" t="s">
        <v>42</v>
      </c>
      <c r="O131" s="85" t="s">
        <v>11</v>
      </c>
      <c r="P131" s="101">
        <v>1</v>
      </c>
      <c r="Q131" s="20" t="s">
        <v>201</v>
      </c>
      <c r="R131" s="84" t="s">
        <v>42</v>
      </c>
      <c r="S131" s="85" t="s">
        <v>11</v>
      </c>
      <c r="T131" s="101">
        <v>1</v>
      </c>
      <c r="U131" s="20" t="s">
        <v>201</v>
      </c>
      <c r="V131" s="84" t="s">
        <v>42</v>
      </c>
      <c r="W131" s="85" t="s">
        <v>11</v>
      </c>
      <c r="X131" s="101">
        <v>1</v>
      </c>
      <c r="Y131" s="20" t="s">
        <v>201</v>
      </c>
      <c r="Z131" s="84" t="s">
        <v>42</v>
      </c>
      <c r="AA131" s="85" t="s">
        <v>11</v>
      </c>
      <c r="AB131" s="101">
        <v>1</v>
      </c>
      <c r="AC131" s="20" t="s">
        <v>201</v>
      </c>
      <c r="AD131" s="84" t="s">
        <v>42</v>
      </c>
      <c r="AE131" s="85" t="s">
        <v>11</v>
      </c>
      <c r="AF131" s="101">
        <v>1</v>
      </c>
      <c r="AG131" s="20" t="s">
        <v>201</v>
      </c>
      <c r="AH131" s="84" t="s">
        <v>42</v>
      </c>
      <c r="AI131" s="85" t="s">
        <v>11</v>
      </c>
      <c r="AJ131" s="101">
        <v>1</v>
      </c>
      <c r="AK131" s="20" t="s">
        <v>201</v>
      </c>
      <c r="AL131" s="84" t="s">
        <v>42</v>
      </c>
      <c r="AM131" s="85" t="s">
        <v>11</v>
      </c>
      <c r="AN131" s="101">
        <v>1</v>
      </c>
      <c r="AO131" s="20" t="s">
        <v>201</v>
      </c>
      <c r="AP131" s="84" t="s">
        <v>42</v>
      </c>
      <c r="AQ131" s="85" t="s">
        <v>11</v>
      </c>
      <c r="AR131" s="101">
        <v>1</v>
      </c>
      <c r="AS131" s="20" t="s">
        <v>201</v>
      </c>
      <c r="AT131" s="84" t="s">
        <v>42</v>
      </c>
      <c r="AU131" s="85" t="s">
        <v>11</v>
      </c>
      <c r="AV131" s="101">
        <v>1</v>
      </c>
      <c r="AW131" s="20" t="s">
        <v>201</v>
      </c>
      <c r="AX131" s="84" t="s">
        <v>42</v>
      </c>
      <c r="AY131" s="85" t="s">
        <v>11</v>
      </c>
      <c r="AZ131" s="101">
        <v>1</v>
      </c>
      <c r="BA131" s="20" t="s">
        <v>201</v>
      </c>
      <c r="BB131" s="84" t="s">
        <v>42</v>
      </c>
      <c r="BC131" s="85" t="s">
        <v>11</v>
      </c>
      <c r="BD131" s="101">
        <v>1</v>
      </c>
    </row>
    <row r="132" spans="1:56" ht="18.75">
      <c r="A132" s="20" t="s">
        <v>202</v>
      </c>
      <c r="B132" s="84" t="s">
        <v>90</v>
      </c>
      <c r="C132" s="85" t="s">
        <v>22</v>
      </c>
      <c r="D132" s="232">
        <f>H132+L132+P132+T132+X132+AB132+AF132+AJ132+AN132+AR132+AV132+AZ132+BD132</f>
        <v>0.06</v>
      </c>
      <c r="E132" s="20" t="s">
        <v>202</v>
      </c>
      <c r="F132" s="84" t="s">
        <v>90</v>
      </c>
      <c r="G132" s="85" t="s">
        <v>22</v>
      </c>
      <c r="H132" s="100"/>
      <c r="I132" s="20" t="s">
        <v>202</v>
      </c>
      <c r="J132" s="84" t="s">
        <v>90</v>
      </c>
      <c r="K132" s="85" t="s">
        <v>22</v>
      </c>
      <c r="L132" s="99"/>
      <c r="M132" s="20" t="s">
        <v>202</v>
      </c>
      <c r="N132" s="84" t="s">
        <v>90</v>
      </c>
      <c r="O132" s="85" t="s">
        <v>22</v>
      </c>
      <c r="P132" s="99"/>
      <c r="Q132" s="20" t="s">
        <v>202</v>
      </c>
      <c r="R132" s="84" t="s">
        <v>90</v>
      </c>
      <c r="S132" s="85" t="s">
        <v>22</v>
      </c>
      <c r="T132" s="99"/>
      <c r="U132" s="20" t="s">
        <v>202</v>
      </c>
      <c r="V132" s="84" t="s">
        <v>90</v>
      </c>
      <c r="W132" s="85" t="s">
        <v>22</v>
      </c>
      <c r="X132" s="89"/>
      <c r="Y132" s="20" t="s">
        <v>202</v>
      </c>
      <c r="Z132" s="84" t="s">
        <v>90</v>
      </c>
      <c r="AA132" s="85" t="s">
        <v>22</v>
      </c>
      <c r="AB132" s="100"/>
      <c r="AC132" s="20" t="s">
        <v>202</v>
      </c>
      <c r="AD132" s="84" t="s">
        <v>90</v>
      </c>
      <c r="AE132" s="85" t="s">
        <v>22</v>
      </c>
      <c r="AF132" s="89"/>
      <c r="AG132" s="20" t="s">
        <v>202</v>
      </c>
      <c r="AH132" s="84" t="s">
        <v>90</v>
      </c>
      <c r="AI132" s="85" t="s">
        <v>22</v>
      </c>
      <c r="AJ132" s="100"/>
      <c r="AK132" s="20" t="s">
        <v>202</v>
      </c>
      <c r="AL132" s="84" t="s">
        <v>90</v>
      </c>
      <c r="AM132" s="85" t="s">
        <v>22</v>
      </c>
      <c r="AN132" s="89"/>
      <c r="AO132" s="20" t="s">
        <v>202</v>
      </c>
      <c r="AP132" s="84" t="s">
        <v>90</v>
      </c>
      <c r="AQ132" s="85" t="s">
        <v>22</v>
      </c>
      <c r="AR132" s="89">
        <v>0.04</v>
      </c>
      <c r="AS132" s="20" t="s">
        <v>202</v>
      </c>
      <c r="AT132" s="84" t="s">
        <v>90</v>
      </c>
      <c r="AU132" s="85" t="s">
        <v>22</v>
      </c>
      <c r="AV132" s="89">
        <v>0.02</v>
      </c>
      <c r="AW132" s="20" t="s">
        <v>202</v>
      </c>
      <c r="AX132" s="84" t="s">
        <v>90</v>
      </c>
      <c r="AY132" s="85" t="s">
        <v>22</v>
      </c>
      <c r="AZ132" s="89"/>
      <c r="BA132" s="20" t="s">
        <v>202</v>
      </c>
      <c r="BB132" s="84" t="s">
        <v>90</v>
      </c>
      <c r="BC132" s="85" t="s">
        <v>22</v>
      </c>
      <c r="BD132" s="99"/>
    </row>
    <row r="133" spans="1:56" ht="18.75">
      <c r="A133" s="20" t="s">
        <v>362</v>
      </c>
      <c r="B133" s="84" t="s">
        <v>43</v>
      </c>
      <c r="C133" s="85" t="s">
        <v>22</v>
      </c>
      <c r="D133" s="232">
        <f>H133+L133+P133+T133+X133+AB133+AF133+AJ133+AN133+AR133+AV133+AZ133+BD133</f>
        <v>0.56</v>
      </c>
      <c r="E133" s="20" t="s">
        <v>362</v>
      </c>
      <c r="F133" s="84" t="s">
        <v>43</v>
      </c>
      <c r="G133" s="85" t="s">
        <v>22</v>
      </c>
      <c r="H133" s="89">
        <v>0.06</v>
      </c>
      <c r="I133" s="20" t="s">
        <v>362</v>
      </c>
      <c r="J133" s="84" t="s">
        <v>43</v>
      </c>
      <c r="K133" s="85" t="s">
        <v>22</v>
      </c>
      <c r="L133" s="89">
        <v>0.04</v>
      </c>
      <c r="M133" s="20" t="s">
        <v>362</v>
      </c>
      <c r="N133" s="84" t="s">
        <v>43</v>
      </c>
      <c r="O133" s="85" t="s">
        <v>22</v>
      </c>
      <c r="P133" s="89">
        <v>0.02</v>
      </c>
      <c r="Q133" s="20" t="s">
        <v>362</v>
      </c>
      <c r="R133" s="84" t="s">
        <v>43</v>
      </c>
      <c r="S133" s="85" t="s">
        <v>22</v>
      </c>
      <c r="T133" s="89">
        <v>0.02</v>
      </c>
      <c r="U133" s="20" t="s">
        <v>362</v>
      </c>
      <c r="V133" s="84" t="s">
        <v>43</v>
      </c>
      <c r="W133" s="85" t="s">
        <v>22</v>
      </c>
      <c r="X133" s="89">
        <v>0.04</v>
      </c>
      <c r="Y133" s="20" t="s">
        <v>362</v>
      </c>
      <c r="Z133" s="84" t="s">
        <v>43</v>
      </c>
      <c r="AA133" s="85" t="s">
        <v>22</v>
      </c>
      <c r="AB133" s="89">
        <v>0.09</v>
      </c>
      <c r="AC133" s="20" t="s">
        <v>362</v>
      </c>
      <c r="AD133" s="84" t="s">
        <v>43</v>
      </c>
      <c r="AE133" s="85" t="s">
        <v>22</v>
      </c>
      <c r="AF133" s="89">
        <v>0.06</v>
      </c>
      <c r="AG133" s="20" t="s">
        <v>362</v>
      </c>
      <c r="AH133" s="84" t="s">
        <v>43</v>
      </c>
      <c r="AI133" s="85" t="s">
        <v>22</v>
      </c>
      <c r="AJ133" s="89">
        <v>0.06</v>
      </c>
      <c r="AK133" s="20" t="s">
        <v>362</v>
      </c>
      <c r="AL133" s="84" t="s">
        <v>43</v>
      </c>
      <c r="AM133" s="85" t="s">
        <v>22</v>
      </c>
      <c r="AN133" s="89">
        <v>0.09</v>
      </c>
      <c r="AO133" s="20" t="s">
        <v>362</v>
      </c>
      <c r="AP133" s="84" t="s">
        <v>43</v>
      </c>
      <c r="AQ133" s="85" t="s">
        <v>22</v>
      </c>
      <c r="AR133" s="89">
        <v>0.02</v>
      </c>
      <c r="AS133" s="20" t="s">
        <v>362</v>
      </c>
      <c r="AT133" s="84" t="s">
        <v>43</v>
      </c>
      <c r="AU133" s="85" t="s">
        <v>22</v>
      </c>
      <c r="AV133" s="89">
        <v>0.02</v>
      </c>
      <c r="AW133" s="20" t="s">
        <v>362</v>
      </c>
      <c r="AX133" s="84" t="s">
        <v>43</v>
      </c>
      <c r="AY133" s="85" t="s">
        <v>22</v>
      </c>
      <c r="AZ133" s="89">
        <v>0.02</v>
      </c>
      <c r="BA133" s="20" t="s">
        <v>362</v>
      </c>
      <c r="BB133" s="84" t="s">
        <v>43</v>
      </c>
      <c r="BC133" s="85" t="s">
        <v>22</v>
      </c>
      <c r="BD133" s="89">
        <v>0.02</v>
      </c>
    </row>
    <row r="134" spans="1:56" ht="18.75">
      <c r="A134" s="39"/>
      <c r="B134" s="103" t="s">
        <v>216</v>
      </c>
      <c r="C134" s="104"/>
      <c r="D134" s="236"/>
      <c r="E134" s="39"/>
      <c r="F134" s="103" t="s">
        <v>216</v>
      </c>
      <c r="G134" s="104"/>
      <c r="H134" s="107"/>
      <c r="I134" s="39"/>
      <c r="J134" s="103" t="s">
        <v>216</v>
      </c>
      <c r="K134" s="104"/>
      <c r="L134" s="105"/>
      <c r="M134" s="39"/>
      <c r="N134" s="103" t="s">
        <v>216</v>
      </c>
      <c r="O134" s="104"/>
      <c r="P134" s="105"/>
      <c r="Q134" s="39"/>
      <c r="R134" s="103" t="s">
        <v>216</v>
      </c>
      <c r="S134" s="104"/>
      <c r="T134" s="105"/>
      <c r="U134" s="39"/>
      <c r="V134" s="103" t="s">
        <v>216</v>
      </c>
      <c r="W134" s="104"/>
      <c r="X134" s="105"/>
      <c r="Y134" s="39"/>
      <c r="Z134" s="103" t="s">
        <v>216</v>
      </c>
      <c r="AA134" s="104"/>
      <c r="AB134" s="105"/>
      <c r="AC134" s="39"/>
      <c r="AD134" s="103" t="s">
        <v>216</v>
      </c>
      <c r="AE134" s="104"/>
      <c r="AF134" s="105"/>
      <c r="AG134" s="39"/>
      <c r="AH134" s="103" t="s">
        <v>216</v>
      </c>
      <c r="AI134" s="104"/>
      <c r="AJ134" s="105"/>
      <c r="AK134" s="39"/>
      <c r="AL134" s="103" t="s">
        <v>216</v>
      </c>
      <c r="AM134" s="104"/>
      <c r="AN134" s="105"/>
      <c r="AO134" s="39"/>
      <c r="AP134" s="103" t="s">
        <v>216</v>
      </c>
      <c r="AQ134" s="104"/>
      <c r="AR134" s="105"/>
      <c r="AS134" s="39"/>
      <c r="AT134" s="103" t="s">
        <v>216</v>
      </c>
      <c r="AU134" s="104"/>
      <c r="AV134" s="105"/>
      <c r="AW134" s="39"/>
      <c r="AX134" s="103" t="s">
        <v>216</v>
      </c>
      <c r="AY134" s="104"/>
      <c r="AZ134" s="105"/>
      <c r="BA134" s="39"/>
      <c r="BB134" s="103" t="s">
        <v>216</v>
      </c>
      <c r="BC134" s="104"/>
      <c r="BD134" s="105"/>
    </row>
    <row r="135" spans="1:56" ht="18.75" hidden="1">
      <c r="A135" s="83" t="s">
        <v>203</v>
      </c>
      <c r="B135" s="84" t="s">
        <v>52</v>
      </c>
      <c r="C135" s="114" t="s">
        <v>11</v>
      </c>
      <c r="D135" s="239">
        <f>H135+L135+P135+T135+X135+AB135+AF135+AJ135+AN135+AR135+AV135+AZ135+BD135</f>
        <v>1</v>
      </c>
      <c r="E135" s="83" t="s">
        <v>203</v>
      </c>
      <c r="F135" s="84" t="s">
        <v>52</v>
      </c>
      <c r="G135" s="114" t="s">
        <v>11</v>
      </c>
      <c r="H135" s="101"/>
      <c r="I135" s="83" t="s">
        <v>203</v>
      </c>
      <c r="J135" s="84" t="s">
        <v>52</v>
      </c>
      <c r="K135" s="114" t="s">
        <v>11</v>
      </c>
      <c r="L135" s="101"/>
      <c r="M135" s="83" t="s">
        <v>203</v>
      </c>
      <c r="N135" s="84" t="s">
        <v>52</v>
      </c>
      <c r="O135" s="114" t="s">
        <v>11</v>
      </c>
      <c r="P135" s="101"/>
      <c r="Q135" s="83" t="s">
        <v>203</v>
      </c>
      <c r="R135" s="84" t="s">
        <v>52</v>
      </c>
      <c r="S135" s="114" t="s">
        <v>11</v>
      </c>
      <c r="T135" s="101"/>
      <c r="U135" s="83" t="s">
        <v>203</v>
      </c>
      <c r="V135" s="84" t="s">
        <v>52</v>
      </c>
      <c r="W135" s="114" t="s">
        <v>11</v>
      </c>
      <c r="X135" s="101"/>
      <c r="Y135" s="83" t="s">
        <v>203</v>
      </c>
      <c r="Z135" s="84" t="s">
        <v>52</v>
      </c>
      <c r="AA135" s="114" t="s">
        <v>11</v>
      </c>
      <c r="AB135" s="101"/>
      <c r="AC135" s="83" t="s">
        <v>203</v>
      </c>
      <c r="AD135" s="84" t="s">
        <v>52</v>
      </c>
      <c r="AE135" s="114" t="s">
        <v>11</v>
      </c>
      <c r="AF135" s="101"/>
      <c r="AG135" s="83" t="s">
        <v>203</v>
      </c>
      <c r="AH135" s="84" t="s">
        <v>52</v>
      </c>
      <c r="AI135" s="114" t="s">
        <v>11</v>
      </c>
      <c r="AJ135" s="101"/>
      <c r="AK135" s="83" t="s">
        <v>203</v>
      </c>
      <c r="AL135" s="84" t="s">
        <v>52</v>
      </c>
      <c r="AM135" s="114" t="s">
        <v>11</v>
      </c>
      <c r="AN135" s="101"/>
      <c r="AO135" s="83" t="s">
        <v>203</v>
      </c>
      <c r="AP135" s="84" t="s">
        <v>52</v>
      </c>
      <c r="AQ135" s="114" t="s">
        <v>11</v>
      </c>
      <c r="AR135" s="101">
        <v>1</v>
      </c>
      <c r="AS135" s="83" t="s">
        <v>203</v>
      </c>
      <c r="AT135" s="84" t="s">
        <v>52</v>
      </c>
      <c r="AU135" s="114" t="s">
        <v>11</v>
      </c>
      <c r="AV135" s="101"/>
      <c r="AW135" s="83" t="s">
        <v>203</v>
      </c>
      <c r="AX135" s="84" t="s">
        <v>52</v>
      </c>
      <c r="AY135" s="114" t="s">
        <v>11</v>
      </c>
      <c r="AZ135" s="101"/>
      <c r="BA135" s="83" t="s">
        <v>203</v>
      </c>
      <c r="BB135" s="84" t="s">
        <v>52</v>
      </c>
      <c r="BC135" s="114" t="s">
        <v>11</v>
      </c>
      <c r="BD135" s="101"/>
    </row>
    <row r="136" spans="1:56" ht="18.75" customHeight="1" hidden="1">
      <c r="A136" s="83" t="s">
        <v>204</v>
      </c>
      <c r="B136" s="243" t="s">
        <v>55</v>
      </c>
      <c r="C136" s="244" t="s">
        <v>11</v>
      </c>
      <c r="D136" s="245">
        <f>H136+L136+P136+T136+X136+AB136+AF136+AJ136+AN136+AR136+AV136+AZ136+BD136</f>
        <v>0</v>
      </c>
      <c r="E136" s="83" t="s">
        <v>204</v>
      </c>
      <c r="F136" s="84" t="s">
        <v>55</v>
      </c>
      <c r="G136" s="114" t="s">
        <v>11</v>
      </c>
      <c r="H136" s="101"/>
      <c r="I136" s="83" t="s">
        <v>204</v>
      </c>
      <c r="J136" s="84" t="s">
        <v>55</v>
      </c>
      <c r="K136" s="114" t="s">
        <v>11</v>
      </c>
      <c r="L136" s="101"/>
      <c r="M136" s="83" t="s">
        <v>204</v>
      </c>
      <c r="N136" s="84" t="s">
        <v>55</v>
      </c>
      <c r="O136" s="114" t="s">
        <v>11</v>
      </c>
      <c r="P136" s="101"/>
      <c r="Q136" s="83" t="s">
        <v>204</v>
      </c>
      <c r="R136" s="84" t="s">
        <v>55</v>
      </c>
      <c r="S136" s="114" t="s">
        <v>11</v>
      </c>
      <c r="T136" s="101"/>
      <c r="U136" s="83" t="s">
        <v>204</v>
      </c>
      <c r="V136" s="84" t="s">
        <v>55</v>
      </c>
      <c r="W136" s="114" t="s">
        <v>11</v>
      </c>
      <c r="X136" s="101"/>
      <c r="Y136" s="83" t="s">
        <v>204</v>
      </c>
      <c r="Z136" s="84" t="s">
        <v>55</v>
      </c>
      <c r="AA136" s="114" t="s">
        <v>11</v>
      </c>
      <c r="AB136" s="101"/>
      <c r="AC136" s="83" t="s">
        <v>204</v>
      </c>
      <c r="AD136" s="84" t="s">
        <v>55</v>
      </c>
      <c r="AE136" s="114" t="s">
        <v>11</v>
      </c>
      <c r="AF136" s="101"/>
      <c r="AG136" s="83" t="s">
        <v>204</v>
      </c>
      <c r="AH136" s="84" t="s">
        <v>55</v>
      </c>
      <c r="AI136" s="114" t="s">
        <v>11</v>
      </c>
      <c r="AJ136" s="101"/>
      <c r="AK136" s="83" t="s">
        <v>204</v>
      </c>
      <c r="AL136" s="84" t="s">
        <v>55</v>
      </c>
      <c r="AM136" s="114" t="s">
        <v>11</v>
      </c>
      <c r="AN136" s="101"/>
      <c r="AO136" s="83" t="s">
        <v>204</v>
      </c>
      <c r="AP136" s="84" t="s">
        <v>55</v>
      </c>
      <c r="AQ136" s="114" t="s">
        <v>11</v>
      </c>
      <c r="AR136" s="101"/>
      <c r="AS136" s="83" t="s">
        <v>204</v>
      </c>
      <c r="AT136" s="84" t="s">
        <v>55</v>
      </c>
      <c r="AU136" s="114" t="s">
        <v>11</v>
      </c>
      <c r="AV136" s="101"/>
      <c r="AW136" s="83" t="s">
        <v>204</v>
      </c>
      <c r="AX136" s="84" t="s">
        <v>55</v>
      </c>
      <c r="AY136" s="114" t="s">
        <v>11</v>
      </c>
      <c r="AZ136" s="101"/>
      <c r="BA136" s="83" t="s">
        <v>204</v>
      </c>
      <c r="BB136" s="84" t="s">
        <v>55</v>
      </c>
      <c r="BC136" s="114" t="s">
        <v>11</v>
      </c>
      <c r="BD136" s="101"/>
    </row>
    <row r="137" spans="1:56" ht="18.75" hidden="1">
      <c r="A137" s="83" t="s">
        <v>205</v>
      </c>
      <c r="B137" s="84" t="s">
        <v>57</v>
      </c>
      <c r="C137" s="114" t="s">
        <v>11</v>
      </c>
      <c r="D137" s="239">
        <f>H137+L137+P137+T137+X137+AB137+AF137+AJ137+AN137+AR137+AV137+AZ137+BD137</f>
        <v>1</v>
      </c>
      <c r="E137" s="83" t="s">
        <v>205</v>
      </c>
      <c r="F137" s="84" t="s">
        <v>57</v>
      </c>
      <c r="G137" s="114" t="s">
        <v>11</v>
      </c>
      <c r="H137" s="101"/>
      <c r="I137" s="83" t="s">
        <v>205</v>
      </c>
      <c r="J137" s="84" t="s">
        <v>57</v>
      </c>
      <c r="K137" s="114" t="s">
        <v>11</v>
      </c>
      <c r="L137" s="101"/>
      <c r="M137" s="83" t="s">
        <v>205</v>
      </c>
      <c r="N137" s="84" t="s">
        <v>57</v>
      </c>
      <c r="O137" s="114" t="s">
        <v>11</v>
      </c>
      <c r="P137" s="101"/>
      <c r="Q137" s="83" t="s">
        <v>205</v>
      </c>
      <c r="R137" s="84" t="s">
        <v>57</v>
      </c>
      <c r="S137" s="114" t="s">
        <v>11</v>
      </c>
      <c r="T137" s="101"/>
      <c r="U137" s="83" t="s">
        <v>205</v>
      </c>
      <c r="V137" s="84" t="s">
        <v>57</v>
      </c>
      <c r="W137" s="114" t="s">
        <v>11</v>
      </c>
      <c r="X137" s="101"/>
      <c r="Y137" s="83" t="s">
        <v>205</v>
      </c>
      <c r="Z137" s="84" t="s">
        <v>57</v>
      </c>
      <c r="AA137" s="114" t="s">
        <v>11</v>
      </c>
      <c r="AB137" s="101"/>
      <c r="AC137" s="83" t="s">
        <v>205</v>
      </c>
      <c r="AD137" s="84" t="s">
        <v>57</v>
      </c>
      <c r="AE137" s="114" t="s">
        <v>11</v>
      </c>
      <c r="AF137" s="101"/>
      <c r="AG137" s="83" t="s">
        <v>205</v>
      </c>
      <c r="AH137" s="84" t="s">
        <v>57</v>
      </c>
      <c r="AI137" s="114" t="s">
        <v>11</v>
      </c>
      <c r="AJ137" s="101"/>
      <c r="AK137" s="83" t="s">
        <v>205</v>
      </c>
      <c r="AL137" s="84" t="s">
        <v>57</v>
      </c>
      <c r="AM137" s="114" t="s">
        <v>11</v>
      </c>
      <c r="AN137" s="101"/>
      <c r="AO137" s="83" t="s">
        <v>205</v>
      </c>
      <c r="AP137" s="84" t="s">
        <v>57</v>
      </c>
      <c r="AQ137" s="114" t="s">
        <v>11</v>
      </c>
      <c r="AR137" s="101">
        <v>1</v>
      </c>
      <c r="AS137" s="83" t="s">
        <v>205</v>
      </c>
      <c r="AT137" s="84" t="s">
        <v>57</v>
      </c>
      <c r="AU137" s="114" t="s">
        <v>11</v>
      </c>
      <c r="AV137" s="101"/>
      <c r="AW137" s="83" t="s">
        <v>205</v>
      </c>
      <c r="AX137" s="84" t="s">
        <v>57</v>
      </c>
      <c r="AY137" s="114" t="s">
        <v>11</v>
      </c>
      <c r="AZ137" s="101"/>
      <c r="BA137" s="83" t="s">
        <v>205</v>
      </c>
      <c r="BB137" s="84" t="s">
        <v>57</v>
      </c>
      <c r="BC137" s="114" t="s">
        <v>11</v>
      </c>
      <c r="BD137" s="101"/>
    </row>
    <row r="138" spans="1:56" ht="18.75" hidden="1">
      <c r="A138" s="102"/>
      <c r="B138" s="103" t="s">
        <v>27</v>
      </c>
      <c r="C138" s="104"/>
      <c r="D138" s="236"/>
      <c r="E138" s="102"/>
      <c r="F138" s="103" t="s">
        <v>27</v>
      </c>
      <c r="G138" s="104"/>
      <c r="H138" s="107"/>
      <c r="I138" s="102"/>
      <c r="J138" s="103" t="s">
        <v>27</v>
      </c>
      <c r="K138" s="104"/>
      <c r="L138" s="105"/>
      <c r="M138" s="102"/>
      <c r="N138" s="103" t="s">
        <v>27</v>
      </c>
      <c r="O138" s="104"/>
      <c r="P138" s="105"/>
      <c r="Q138" s="102"/>
      <c r="R138" s="103" t="s">
        <v>27</v>
      </c>
      <c r="S138" s="104"/>
      <c r="T138" s="105"/>
      <c r="U138" s="102"/>
      <c r="V138" s="103" t="s">
        <v>27</v>
      </c>
      <c r="W138" s="104"/>
      <c r="X138" s="105"/>
      <c r="Y138" s="102"/>
      <c r="Z138" s="103" t="s">
        <v>27</v>
      </c>
      <c r="AA138" s="104"/>
      <c r="AB138" s="105"/>
      <c r="AC138" s="102"/>
      <c r="AD138" s="103" t="s">
        <v>27</v>
      </c>
      <c r="AE138" s="104"/>
      <c r="AF138" s="105"/>
      <c r="AG138" s="102"/>
      <c r="AH138" s="103" t="s">
        <v>27</v>
      </c>
      <c r="AI138" s="104"/>
      <c r="AJ138" s="105"/>
      <c r="AK138" s="102"/>
      <c r="AL138" s="103" t="s">
        <v>27</v>
      </c>
      <c r="AM138" s="104"/>
      <c r="AN138" s="105"/>
      <c r="AO138" s="102"/>
      <c r="AP138" s="103" t="s">
        <v>27</v>
      </c>
      <c r="AQ138" s="104"/>
      <c r="AR138" s="105"/>
      <c r="AS138" s="102"/>
      <c r="AT138" s="103" t="s">
        <v>27</v>
      </c>
      <c r="AU138" s="104"/>
      <c r="AV138" s="105"/>
      <c r="AW138" s="102"/>
      <c r="AX138" s="103" t="s">
        <v>27</v>
      </c>
      <c r="AY138" s="104"/>
      <c r="AZ138" s="105"/>
      <c r="BA138" s="102"/>
      <c r="BB138" s="103" t="s">
        <v>27</v>
      </c>
      <c r="BC138" s="104"/>
      <c r="BD138" s="105"/>
    </row>
    <row r="139" spans="1:57" ht="59.25" customHeight="1">
      <c r="A139" s="115"/>
      <c r="B139" s="116" t="s">
        <v>59</v>
      </c>
      <c r="C139" s="115"/>
      <c r="D139" s="242" t="s">
        <v>77</v>
      </c>
      <c r="E139" s="115"/>
      <c r="F139" s="116" t="s">
        <v>59</v>
      </c>
      <c r="G139" s="115"/>
      <c r="H139" s="117" t="s">
        <v>77</v>
      </c>
      <c r="I139" s="115"/>
      <c r="J139" s="116" t="s">
        <v>59</v>
      </c>
      <c r="K139" s="115"/>
      <c r="L139" s="117" t="s">
        <v>77</v>
      </c>
      <c r="M139" s="115"/>
      <c r="N139" s="116" t="s">
        <v>59</v>
      </c>
      <c r="O139" s="115"/>
      <c r="P139" s="117" t="s">
        <v>77</v>
      </c>
      <c r="Q139" s="115"/>
      <c r="R139" s="116" t="s">
        <v>59</v>
      </c>
      <c r="S139" s="115"/>
      <c r="T139" s="117" t="s">
        <v>77</v>
      </c>
      <c r="U139" s="115"/>
      <c r="V139" s="116" t="s">
        <v>59</v>
      </c>
      <c r="W139" s="115"/>
      <c r="X139" s="117" t="s">
        <v>77</v>
      </c>
      <c r="Y139" s="115"/>
      <c r="Z139" s="116" t="s">
        <v>59</v>
      </c>
      <c r="AA139" s="115"/>
      <c r="AB139" s="117" t="s">
        <v>77</v>
      </c>
      <c r="AC139" s="115"/>
      <c r="AD139" s="116" t="s">
        <v>59</v>
      </c>
      <c r="AE139" s="115"/>
      <c r="AF139" s="117" t="s">
        <v>77</v>
      </c>
      <c r="AG139" s="115"/>
      <c r="AH139" s="116" t="s">
        <v>59</v>
      </c>
      <c r="AI139" s="115"/>
      <c r="AJ139" s="117" t="s">
        <v>77</v>
      </c>
      <c r="AK139" s="115"/>
      <c r="AL139" s="116" t="s">
        <v>59</v>
      </c>
      <c r="AM139" s="115"/>
      <c r="AN139" s="117" t="s">
        <v>77</v>
      </c>
      <c r="AO139" s="115"/>
      <c r="AP139" s="116" t="s">
        <v>59</v>
      </c>
      <c r="AQ139" s="115"/>
      <c r="AR139" s="117" t="s">
        <v>77</v>
      </c>
      <c r="AS139" s="115"/>
      <c r="AT139" s="116" t="s">
        <v>59</v>
      </c>
      <c r="AU139" s="115"/>
      <c r="AV139" s="117" t="s">
        <v>77</v>
      </c>
      <c r="AW139" s="115"/>
      <c r="AX139" s="116" t="s">
        <v>59</v>
      </c>
      <c r="AY139" s="115"/>
      <c r="AZ139" s="117" t="s">
        <v>77</v>
      </c>
      <c r="BA139" s="115"/>
      <c r="BB139" s="116" t="s">
        <v>59</v>
      </c>
      <c r="BC139" s="115"/>
      <c r="BD139" s="117" t="s">
        <v>77</v>
      </c>
      <c r="BE139" s="355"/>
    </row>
    <row r="140" spans="1:57" ht="18.75">
      <c r="A140" s="118">
        <v>1</v>
      </c>
      <c r="B140" s="118" t="s">
        <v>60</v>
      </c>
      <c r="C140" s="114" t="s">
        <v>25</v>
      </c>
      <c r="D140" s="229">
        <f>H140+L140+P140+T140+X140+AB140+AF140+AJ140+AN140+AR140+AV140+AZ140+BD140</f>
        <v>6590.898989999999</v>
      </c>
      <c r="E140" s="118">
        <v>1</v>
      </c>
      <c r="F140" s="118" t="s">
        <v>60</v>
      </c>
      <c r="G140" s="114" t="s">
        <v>25</v>
      </c>
      <c r="H140" s="639">
        <f>(2.8*H22*6)+(3.05*H22*6)</f>
        <v>582.9408</v>
      </c>
      <c r="I140" s="118">
        <v>1</v>
      </c>
      <c r="J140" s="118" t="s">
        <v>60</v>
      </c>
      <c r="K140" s="114" t="s">
        <v>25</v>
      </c>
      <c r="L140" s="639">
        <f>(2.8*L22*6)+(3.05*L22*6)</f>
        <v>408.40955999999994</v>
      </c>
      <c r="M140" s="118">
        <v>1</v>
      </c>
      <c r="N140" s="118" t="s">
        <v>60</v>
      </c>
      <c r="O140" s="114" t="s">
        <v>25</v>
      </c>
      <c r="P140" s="639">
        <f>(2.8*P22*6)+(3.05*P22*6)</f>
        <v>408.34286999999995</v>
      </c>
      <c r="Q140" s="118">
        <v>1</v>
      </c>
      <c r="R140" s="118" t="s">
        <v>60</v>
      </c>
      <c r="S140" s="114" t="s">
        <v>25</v>
      </c>
      <c r="T140" s="639">
        <f>(2.8*T22*6)+(3.05*T22*6)</f>
        <v>406.98801</v>
      </c>
      <c r="U140" s="118">
        <v>1</v>
      </c>
      <c r="V140" s="118" t="s">
        <v>60</v>
      </c>
      <c r="W140" s="114" t="s">
        <v>25</v>
      </c>
      <c r="X140" s="639">
        <f>(2.8*X22*6)+(3.05*X22*6)</f>
        <v>406.40183999999994</v>
      </c>
      <c r="Y140" s="118">
        <v>1</v>
      </c>
      <c r="Z140" s="118" t="s">
        <v>60</v>
      </c>
      <c r="AA140" s="114" t="s">
        <v>25</v>
      </c>
      <c r="AB140" s="639">
        <f>(2.8*AB22*6)+(3.05*AB22*6)</f>
        <v>1245.64635</v>
      </c>
      <c r="AC140" s="118">
        <v>1</v>
      </c>
      <c r="AD140" s="118" t="s">
        <v>60</v>
      </c>
      <c r="AE140" s="114" t="s">
        <v>25</v>
      </c>
      <c r="AF140" s="639">
        <f>(2.8*AF22*6)+(3.05*AF22*6)</f>
        <v>580.0134599999999</v>
      </c>
      <c r="AG140" s="118">
        <v>1</v>
      </c>
      <c r="AH140" s="118" t="s">
        <v>60</v>
      </c>
      <c r="AI140" s="114" t="s">
        <v>25</v>
      </c>
      <c r="AJ140" s="639">
        <f>(2.8*AJ22*6)+(3.05*AJ22*6)</f>
        <v>424.05012</v>
      </c>
      <c r="AK140" s="118">
        <v>1</v>
      </c>
      <c r="AL140" s="118" t="s">
        <v>60</v>
      </c>
      <c r="AM140" s="114" t="s">
        <v>25</v>
      </c>
      <c r="AN140" s="639">
        <f>(2.8*AN22*6)+(3.05*AN22*6)</f>
        <v>1026.7522199999999</v>
      </c>
      <c r="AO140" s="118">
        <v>1</v>
      </c>
      <c r="AP140" s="118" t="s">
        <v>60</v>
      </c>
      <c r="AQ140" s="114" t="s">
        <v>25</v>
      </c>
      <c r="AR140" s="639">
        <f>(2.8*AR22*6)+(3.05*AR22*6)</f>
        <v>363.60441</v>
      </c>
      <c r="AS140" s="118">
        <v>1</v>
      </c>
      <c r="AT140" s="118" t="s">
        <v>60</v>
      </c>
      <c r="AU140" s="114" t="s">
        <v>25</v>
      </c>
      <c r="AV140" s="639">
        <f>(2.8*AV22*6)+(3.05*AV22*6)</f>
        <v>188.63792999999998</v>
      </c>
      <c r="AW140" s="118">
        <v>1</v>
      </c>
      <c r="AX140" s="118" t="s">
        <v>60</v>
      </c>
      <c r="AY140" s="114" t="s">
        <v>25</v>
      </c>
      <c r="AZ140" s="639">
        <f>(2.8*AZ22*6)+(3.05*AZ22*6)</f>
        <v>364.29588</v>
      </c>
      <c r="BA140" s="118">
        <v>1</v>
      </c>
      <c r="BB140" s="118" t="s">
        <v>60</v>
      </c>
      <c r="BC140" s="114" t="s">
        <v>25</v>
      </c>
      <c r="BD140" s="639">
        <f>(2.8*BD22*6)+(3.05*BD22*6)</f>
        <v>184.81553999999997</v>
      </c>
      <c r="BE140" s="355">
        <f>(187775*2.8*6)+(187775*3.05*6)</f>
        <v>6590902.5</v>
      </c>
    </row>
    <row r="141" spans="1:57" ht="18.75">
      <c r="A141" s="118"/>
      <c r="B141" s="119" t="s">
        <v>61</v>
      </c>
      <c r="C141" s="114" t="s">
        <v>25</v>
      </c>
      <c r="D141" s="581" t="e">
        <f>D140-#REF!</f>
        <v>#REF!</v>
      </c>
      <c r="E141" s="118"/>
      <c r="F141" s="119" t="s">
        <v>61</v>
      </c>
      <c r="G141" s="114" t="s">
        <v>25</v>
      </c>
      <c r="H141" s="639" t="e">
        <f>H140-#REF!</f>
        <v>#REF!</v>
      </c>
      <c r="I141" s="118"/>
      <c r="J141" s="119" t="s">
        <v>61</v>
      </c>
      <c r="K141" s="114" t="s">
        <v>25</v>
      </c>
      <c r="L141" s="639" t="e">
        <f>L140-#REF!</f>
        <v>#REF!</v>
      </c>
      <c r="M141" s="118"/>
      <c r="N141" s="119" t="s">
        <v>61</v>
      </c>
      <c r="O141" s="114" t="s">
        <v>25</v>
      </c>
      <c r="P141" s="639" t="e">
        <f>P140-#REF!</f>
        <v>#REF!</v>
      </c>
      <c r="Q141" s="118"/>
      <c r="R141" s="119" t="s">
        <v>61</v>
      </c>
      <c r="S141" s="114" t="s">
        <v>25</v>
      </c>
      <c r="T141" s="639" t="e">
        <f>T140-#REF!</f>
        <v>#REF!</v>
      </c>
      <c r="U141" s="118"/>
      <c r="V141" s="119" t="s">
        <v>61</v>
      </c>
      <c r="W141" s="114" t="s">
        <v>25</v>
      </c>
      <c r="X141" s="639" t="e">
        <f>X140-#REF!</f>
        <v>#REF!</v>
      </c>
      <c r="Y141" s="118"/>
      <c r="Z141" s="119" t="s">
        <v>61</v>
      </c>
      <c r="AA141" s="114" t="s">
        <v>25</v>
      </c>
      <c r="AB141" s="639" t="e">
        <f>AB140-#REF!</f>
        <v>#REF!</v>
      </c>
      <c r="AC141" s="118"/>
      <c r="AD141" s="119" t="s">
        <v>61</v>
      </c>
      <c r="AE141" s="114" t="s">
        <v>25</v>
      </c>
      <c r="AF141" s="639" t="e">
        <f>AF140-#REF!</f>
        <v>#REF!</v>
      </c>
      <c r="AG141" s="118"/>
      <c r="AH141" s="119" t="s">
        <v>61</v>
      </c>
      <c r="AI141" s="114" t="s">
        <v>25</v>
      </c>
      <c r="AJ141" s="639" t="e">
        <f>AJ140-#REF!</f>
        <v>#REF!</v>
      </c>
      <c r="AK141" s="118"/>
      <c r="AL141" s="119" t="s">
        <v>61</v>
      </c>
      <c r="AM141" s="114" t="s">
        <v>25</v>
      </c>
      <c r="AN141" s="639" t="e">
        <f>AN140-#REF!</f>
        <v>#REF!</v>
      </c>
      <c r="AO141" s="118"/>
      <c r="AP141" s="119" t="s">
        <v>61</v>
      </c>
      <c r="AQ141" s="114" t="s">
        <v>25</v>
      </c>
      <c r="AR141" s="639" t="e">
        <f>AR140-#REF!</f>
        <v>#REF!</v>
      </c>
      <c r="AS141" s="118"/>
      <c r="AT141" s="119" t="s">
        <v>61</v>
      </c>
      <c r="AU141" s="114" t="s">
        <v>25</v>
      </c>
      <c r="AV141" s="639" t="e">
        <f>AV140-#REF!</f>
        <v>#REF!</v>
      </c>
      <c r="AW141" s="118"/>
      <c r="AX141" s="119" t="s">
        <v>61</v>
      </c>
      <c r="AY141" s="114" t="s">
        <v>25</v>
      </c>
      <c r="AZ141" s="639" t="e">
        <f>AZ140-#REF!</f>
        <v>#REF!</v>
      </c>
      <c r="BA141" s="118"/>
      <c r="BB141" s="119" t="s">
        <v>61</v>
      </c>
      <c r="BC141" s="114" t="s">
        <v>25</v>
      </c>
      <c r="BD141" s="639" t="e">
        <f>BD140-#REF!</f>
        <v>#REF!</v>
      </c>
      <c r="BE141" s="355"/>
    </row>
    <row r="142" spans="1:57" ht="18.75">
      <c r="A142" s="118">
        <v>2</v>
      </c>
      <c r="B142" s="118" t="s">
        <v>62</v>
      </c>
      <c r="C142" s="114" t="s">
        <v>25</v>
      </c>
      <c r="D142" s="229">
        <f>H142+L142+P142+T142+X142+AB142+AF142+AJ142+AN142+AR142+AV142+AZ142+BD142</f>
        <v>4781.225310000001</v>
      </c>
      <c r="E142" s="118">
        <v>2</v>
      </c>
      <c r="F142" s="118" t="s">
        <v>62</v>
      </c>
      <c r="G142" s="114" t="s">
        <v>25</v>
      </c>
      <c r="H142" s="639">
        <f>(1.94*H22*6*1)+(2.06*H22*6*1)</f>
        <v>398.592</v>
      </c>
      <c r="I142" s="118">
        <v>2</v>
      </c>
      <c r="J142" s="118" t="s">
        <v>62</v>
      </c>
      <c r="K142" s="114" t="s">
        <v>25</v>
      </c>
      <c r="L142" s="639">
        <f>(2.21*L22*6)+(2.36*L22*6)</f>
        <v>319.048152</v>
      </c>
      <c r="M142" s="118">
        <v>2</v>
      </c>
      <c r="N142" s="118" t="s">
        <v>62</v>
      </c>
      <c r="O142" s="114" t="s">
        <v>25</v>
      </c>
      <c r="P142" s="639">
        <f>(1.94*P22*6)+(2.06*P22*6)</f>
        <v>279.2088</v>
      </c>
      <c r="Q142" s="118">
        <v>2</v>
      </c>
      <c r="R142" s="118" t="s">
        <v>62</v>
      </c>
      <c r="S142" s="114" t="s">
        <v>25</v>
      </c>
      <c r="T142" s="639">
        <f>(1.94*T22*6)+(2.06*T22*6)</f>
        <v>278.2824</v>
      </c>
      <c r="U142" s="118">
        <v>2</v>
      </c>
      <c r="V142" s="118" t="s">
        <v>62</v>
      </c>
      <c r="W142" s="114" t="s">
        <v>25</v>
      </c>
      <c r="X142" s="639">
        <f>(2.21*X22*6)+(2.36*X22*6)</f>
        <v>317.479728</v>
      </c>
      <c r="Y142" s="118">
        <v>2</v>
      </c>
      <c r="Z142" s="118" t="s">
        <v>62</v>
      </c>
      <c r="AA142" s="114" t="s">
        <v>25</v>
      </c>
      <c r="AB142" s="639">
        <f>(1.94*AB22*6)+(2.06*AB22*6)</f>
        <v>851.724</v>
      </c>
      <c r="AC142" s="118">
        <v>2</v>
      </c>
      <c r="AD142" s="118" t="s">
        <v>62</v>
      </c>
      <c r="AE142" s="114" t="s">
        <v>25</v>
      </c>
      <c r="AF142" s="639">
        <f>(1.94*AF22*6*1)+(2.06*AF22*6*1)</f>
        <v>396.5904</v>
      </c>
      <c r="AG142" s="118">
        <v>2</v>
      </c>
      <c r="AH142" s="118" t="s">
        <v>62</v>
      </c>
      <c r="AI142" s="114" t="s">
        <v>25</v>
      </c>
      <c r="AJ142" s="639">
        <f>(2.21*AJ22*6)+(2.36*AJ22*6)</f>
        <v>331.266504</v>
      </c>
      <c r="AK142" s="118">
        <v>2</v>
      </c>
      <c r="AL142" s="118" t="s">
        <v>62</v>
      </c>
      <c r="AM142" s="114" t="s">
        <v>25</v>
      </c>
      <c r="AN142" s="639">
        <f>(2.21*AN22*6)+(2.36*AN22*6)</f>
        <v>802.095324</v>
      </c>
      <c r="AO142" s="118">
        <v>2</v>
      </c>
      <c r="AP142" s="118" t="s">
        <v>62</v>
      </c>
      <c r="AQ142" s="114" t="s">
        <v>25</v>
      </c>
      <c r="AR142" s="639">
        <f>(1.94*AR22*6)+(2.06*AR22*6)</f>
        <v>248.61839999999998</v>
      </c>
      <c r="AS142" s="118">
        <v>2</v>
      </c>
      <c r="AT142" s="118" t="s">
        <v>62</v>
      </c>
      <c r="AU142" s="114" t="s">
        <v>25</v>
      </c>
      <c r="AV142" s="639">
        <f>(2.21*AV22*6)+(2.36*AV22*6)</f>
        <v>147.363306</v>
      </c>
      <c r="AW142" s="118">
        <v>2</v>
      </c>
      <c r="AX142" s="118" t="s">
        <v>62</v>
      </c>
      <c r="AY142" s="114" t="s">
        <v>25</v>
      </c>
      <c r="AZ142" s="639">
        <f>(2.21*AZ22*6)+(2.36*AZ22*6)</f>
        <v>284.58669599999996</v>
      </c>
      <c r="BA142" s="118">
        <v>2</v>
      </c>
      <c r="BB142" s="118" t="s">
        <v>62</v>
      </c>
      <c r="BC142" s="114" t="s">
        <v>25</v>
      </c>
      <c r="BD142" s="639">
        <f>(1.94*BD22*6)+(2.06*BD22*6)</f>
        <v>126.36959999999999</v>
      </c>
      <c r="BE142" s="355">
        <f>(80300.5*2.21*6)+(80300.5*2.36*6)+(107474*1.94*6)+(107474*2.06*6)</f>
        <v>4781215.71</v>
      </c>
    </row>
    <row r="143" spans="1:57" ht="18.75">
      <c r="A143" s="118"/>
      <c r="B143" s="119" t="s">
        <v>61</v>
      </c>
      <c r="C143" s="114" t="s">
        <v>25</v>
      </c>
      <c r="D143" s="581" t="e">
        <f>D142-#REF!</f>
        <v>#REF!</v>
      </c>
      <c r="E143" s="118"/>
      <c r="F143" s="119" t="s">
        <v>61</v>
      </c>
      <c r="G143" s="114" t="s">
        <v>25</v>
      </c>
      <c r="H143" s="639" t="e">
        <f>H142-#REF!</f>
        <v>#REF!</v>
      </c>
      <c r="I143" s="118"/>
      <c r="J143" s="119" t="s">
        <v>61</v>
      </c>
      <c r="K143" s="114" t="s">
        <v>25</v>
      </c>
      <c r="L143" s="639" t="e">
        <f>L142-#REF!</f>
        <v>#REF!</v>
      </c>
      <c r="M143" s="118"/>
      <c r="N143" s="119" t="s">
        <v>61</v>
      </c>
      <c r="O143" s="114" t="s">
        <v>25</v>
      </c>
      <c r="P143" s="639" t="e">
        <f>P142-#REF!</f>
        <v>#REF!</v>
      </c>
      <c r="Q143" s="118"/>
      <c r="R143" s="119" t="s">
        <v>61</v>
      </c>
      <c r="S143" s="114" t="s">
        <v>25</v>
      </c>
      <c r="T143" s="639" t="e">
        <f>T142-#REF!</f>
        <v>#REF!</v>
      </c>
      <c r="U143" s="118"/>
      <c r="V143" s="119" t="s">
        <v>61</v>
      </c>
      <c r="W143" s="114" t="s">
        <v>25</v>
      </c>
      <c r="X143" s="639" t="e">
        <f>X142-#REF!</f>
        <v>#REF!</v>
      </c>
      <c r="Y143" s="118"/>
      <c r="Z143" s="119" t="s">
        <v>61</v>
      </c>
      <c r="AA143" s="114" t="s">
        <v>25</v>
      </c>
      <c r="AB143" s="639" t="e">
        <f>AB142-#REF!</f>
        <v>#REF!</v>
      </c>
      <c r="AC143" s="118"/>
      <c r="AD143" s="119" t="s">
        <v>61</v>
      </c>
      <c r="AE143" s="114" t="s">
        <v>25</v>
      </c>
      <c r="AF143" s="639" t="e">
        <f>AF142-#REF!</f>
        <v>#REF!</v>
      </c>
      <c r="AG143" s="118"/>
      <c r="AH143" s="119" t="s">
        <v>61</v>
      </c>
      <c r="AI143" s="114" t="s">
        <v>25</v>
      </c>
      <c r="AJ143" s="639" t="e">
        <f>AJ142-#REF!</f>
        <v>#REF!</v>
      </c>
      <c r="AK143" s="118"/>
      <c r="AL143" s="119" t="s">
        <v>61</v>
      </c>
      <c r="AM143" s="114" t="s">
        <v>25</v>
      </c>
      <c r="AN143" s="639" t="e">
        <f>AN142-#REF!</f>
        <v>#REF!</v>
      </c>
      <c r="AO143" s="118"/>
      <c r="AP143" s="119" t="s">
        <v>61</v>
      </c>
      <c r="AQ143" s="114" t="s">
        <v>25</v>
      </c>
      <c r="AR143" s="639" t="e">
        <f>AR142-#REF!</f>
        <v>#REF!</v>
      </c>
      <c r="AS143" s="118"/>
      <c r="AT143" s="119" t="s">
        <v>61</v>
      </c>
      <c r="AU143" s="114" t="s">
        <v>25</v>
      </c>
      <c r="AV143" s="639" t="e">
        <f>AV142-#REF!</f>
        <v>#REF!</v>
      </c>
      <c r="AW143" s="118"/>
      <c r="AX143" s="119" t="s">
        <v>61</v>
      </c>
      <c r="AY143" s="114" t="s">
        <v>25</v>
      </c>
      <c r="AZ143" s="639" t="e">
        <f>AZ142-#REF!</f>
        <v>#REF!</v>
      </c>
      <c r="BA143" s="118"/>
      <c r="BB143" s="119" t="s">
        <v>61</v>
      </c>
      <c r="BC143" s="114" t="s">
        <v>25</v>
      </c>
      <c r="BD143" s="639" t="e">
        <f>BD142-#REF!</f>
        <v>#REF!</v>
      </c>
      <c r="BE143" s="355"/>
    </row>
    <row r="144" spans="1:57" ht="18.75">
      <c r="A144" s="118">
        <v>3</v>
      </c>
      <c r="B144" s="118" t="s">
        <v>63</v>
      </c>
      <c r="C144" s="114" t="s">
        <v>25</v>
      </c>
      <c r="D144" s="229">
        <f>H144+L144+P144+T144+X144+AB144+AF144+AJ144+AN144+AR144+AV144+AZ144+BD144</f>
        <v>5552.910234000001</v>
      </c>
      <c r="E144" s="118">
        <v>3</v>
      </c>
      <c r="F144" s="118" t="s">
        <v>63</v>
      </c>
      <c r="G144" s="114" t="s">
        <v>25</v>
      </c>
      <c r="H144" s="639">
        <f>(2.42*H22*6)+(2.56*H22*6)</f>
        <v>496.24704</v>
      </c>
      <c r="I144" s="118">
        <v>3</v>
      </c>
      <c r="J144" s="118" t="s">
        <v>63</v>
      </c>
      <c r="K144" s="114" t="s">
        <v>25</v>
      </c>
      <c r="L144" s="639">
        <f>(2.42*L22*6)+(2.56*L22*6)</f>
        <v>347.67172800000003</v>
      </c>
      <c r="M144" s="118">
        <v>3</v>
      </c>
      <c r="N144" s="118" t="s">
        <v>63</v>
      </c>
      <c r="O144" s="114" t="s">
        <v>25</v>
      </c>
      <c r="P144" s="639">
        <f>(2.42*P22*6)+(2.56*P22*6)</f>
        <v>347.61495599999995</v>
      </c>
      <c r="Q144" s="118">
        <v>3</v>
      </c>
      <c r="R144" s="118" t="s">
        <v>63</v>
      </c>
      <c r="S144" s="114" t="s">
        <v>25</v>
      </c>
      <c r="T144" s="639">
        <f>(2.42*T22*6)+(2.56*T22*6)</f>
        <v>346.461588</v>
      </c>
      <c r="U144" s="118">
        <v>3</v>
      </c>
      <c r="V144" s="118" t="s">
        <v>63</v>
      </c>
      <c r="W144" s="114" t="s">
        <v>25</v>
      </c>
      <c r="X144" s="639">
        <f>(2.42*X22*6)+(2.56*X22*6)</f>
        <v>345.962592</v>
      </c>
      <c r="Y144" s="118">
        <v>3</v>
      </c>
      <c r="Z144" s="118" t="s">
        <v>63</v>
      </c>
      <c r="AA144" s="114" t="s">
        <v>25</v>
      </c>
      <c r="AB144" s="639">
        <f>(2.42*AB22*6)+(2.56*AB22*6)</f>
        <v>1060.3963800000001</v>
      </c>
      <c r="AC144" s="118">
        <v>3</v>
      </c>
      <c r="AD144" s="118" t="s">
        <v>63</v>
      </c>
      <c r="AE144" s="114" t="s">
        <v>25</v>
      </c>
      <c r="AF144" s="639">
        <f>(2.42*AF22*6)+(2.56*AF22*6)</f>
        <v>493.755048</v>
      </c>
      <c r="AG144" s="118">
        <v>3</v>
      </c>
      <c r="AH144" s="118" t="s">
        <v>63</v>
      </c>
      <c r="AI144" s="114" t="s">
        <v>25</v>
      </c>
      <c r="AJ144" s="639">
        <f>(2.42*AJ22*6)+(2.56*AJ22*6)</f>
        <v>360.986256</v>
      </c>
      <c r="AK144" s="118">
        <v>3</v>
      </c>
      <c r="AL144" s="118" t="s">
        <v>63</v>
      </c>
      <c r="AM144" s="114" t="s">
        <v>25</v>
      </c>
      <c r="AN144" s="639">
        <f>(2.42*AN22*6)+(2.56*AN22*6)</f>
        <v>874.055736</v>
      </c>
      <c r="AO144" s="118">
        <v>3</v>
      </c>
      <c r="AP144" s="118" t="s">
        <v>63</v>
      </c>
      <c r="AQ144" s="114" t="s">
        <v>25</v>
      </c>
      <c r="AR144" s="639">
        <f>(1.97*AR22*6)+(2.08*AR22*6)</f>
        <v>251.72612999999998</v>
      </c>
      <c r="AS144" s="118">
        <v>3</v>
      </c>
      <c r="AT144" s="118" t="s">
        <v>63</v>
      </c>
      <c r="AU144" s="114" t="s">
        <v>25</v>
      </c>
      <c r="AV144" s="639">
        <f>(2.42*AV22*6)+(2.56*AV22*6)</f>
        <v>160.58408400000002</v>
      </c>
      <c r="AW144" s="118">
        <v>3</v>
      </c>
      <c r="AX144" s="118" t="s">
        <v>63</v>
      </c>
      <c r="AY144" s="114" t="s">
        <v>25</v>
      </c>
      <c r="AZ144" s="639">
        <f>(2.42*AZ22*6)+(2.56*AZ22*6)</f>
        <v>310.11854400000004</v>
      </c>
      <c r="BA144" s="118">
        <v>3</v>
      </c>
      <c r="BB144" s="118" t="s">
        <v>63</v>
      </c>
      <c r="BC144" s="114" t="s">
        <v>25</v>
      </c>
      <c r="BD144" s="639">
        <f>(2.42*BD22*6)+(2.56*BD22*6)</f>
        <v>157.330152</v>
      </c>
      <c r="BE144" s="355">
        <f>(177415.6*2.42*6)+(177415.6*2.56*6)+(10359.4*1.97*6)+(10359.4*2.08*6)</f>
        <v>5552911.548</v>
      </c>
    </row>
    <row r="145" spans="1:57" ht="18.75">
      <c r="A145" s="118"/>
      <c r="B145" s="119" t="s">
        <v>61</v>
      </c>
      <c r="C145" s="114" t="s">
        <v>25</v>
      </c>
      <c r="D145" s="581" t="e">
        <f>D144-#REF!</f>
        <v>#REF!</v>
      </c>
      <c r="E145" s="118"/>
      <c r="F145" s="119" t="s">
        <v>61</v>
      </c>
      <c r="G145" s="114" t="s">
        <v>25</v>
      </c>
      <c r="H145" s="639" t="e">
        <f>H144-#REF!</f>
        <v>#REF!</v>
      </c>
      <c r="I145" s="118"/>
      <c r="J145" s="119" t="s">
        <v>61</v>
      </c>
      <c r="K145" s="114" t="s">
        <v>25</v>
      </c>
      <c r="L145" s="639" t="e">
        <f>L144-#REF!</f>
        <v>#REF!</v>
      </c>
      <c r="M145" s="118"/>
      <c r="N145" s="119" t="s">
        <v>61</v>
      </c>
      <c r="O145" s="114" t="s">
        <v>25</v>
      </c>
      <c r="P145" s="639" t="e">
        <f>P144-#REF!</f>
        <v>#REF!</v>
      </c>
      <c r="Q145" s="118"/>
      <c r="R145" s="119" t="s">
        <v>61</v>
      </c>
      <c r="S145" s="114" t="s">
        <v>25</v>
      </c>
      <c r="T145" s="639" t="e">
        <f>T144-#REF!</f>
        <v>#REF!</v>
      </c>
      <c r="U145" s="118"/>
      <c r="V145" s="119" t="s">
        <v>61</v>
      </c>
      <c r="W145" s="114" t="s">
        <v>25</v>
      </c>
      <c r="X145" s="639" t="e">
        <f>X144-#REF!</f>
        <v>#REF!</v>
      </c>
      <c r="Y145" s="118"/>
      <c r="Z145" s="119" t="s">
        <v>61</v>
      </c>
      <c r="AA145" s="114" t="s">
        <v>25</v>
      </c>
      <c r="AB145" s="639" t="e">
        <f>AB144-#REF!</f>
        <v>#REF!</v>
      </c>
      <c r="AC145" s="118"/>
      <c r="AD145" s="119" t="s">
        <v>61</v>
      </c>
      <c r="AE145" s="114" t="s">
        <v>25</v>
      </c>
      <c r="AF145" s="639" t="e">
        <f>AF144-#REF!</f>
        <v>#REF!</v>
      </c>
      <c r="AG145" s="118"/>
      <c r="AH145" s="119" t="s">
        <v>61</v>
      </c>
      <c r="AI145" s="114" t="s">
        <v>25</v>
      </c>
      <c r="AJ145" s="639" t="e">
        <f>AJ144-#REF!</f>
        <v>#REF!</v>
      </c>
      <c r="AK145" s="118"/>
      <c r="AL145" s="119" t="s">
        <v>61</v>
      </c>
      <c r="AM145" s="114" t="s">
        <v>25</v>
      </c>
      <c r="AN145" s="639" t="e">
        <f>AN144-#REF!</f>
        <v>#REF!</v>
      </c>
      <c r="AO145" s="118"/>
      <c r="AP145" s="119" t="s">
        <v>61</v>
      </c>
      <c r="AQ145" s="114" t="s">
        <v>25</v>
      </c>
      <c r="AR145" s="639" t="e">
        <f>AR144-#REF!</f>
        <v>#REF!</v>
      </c>
      <c r="AS145" s="118"/>
      <c r="AT145" s="119" t="s">
        <v>61</v>
      </c>
      <c r="AU145" s="114" t="s">
        <v>25</v>
      </c>
      <c r="AV145" s="639" t="e">
        <f>AV144-#REF!</f>
        <v>#REF!</v>
      </c>
      <c r="AW145" s="118"/>
      <c r="AX145" s="119" t="s">
        <v>61</v>
      </c>
      <c r="AY145" s="114" t="s">
        <v>25</v>
      </c>
      <c r="AZ145" s="639" t="e">
        <f>AZ144-#REF!</f>
        <v>#REF!</v>
      </c>
      <c r="BA145" s="118"/>
      <c r="BB145" s="119" t="s">
        <v>61</v>
      </c>
      <c r="BC145" s="114" t="s">
        <v>25</v>
      </c>
      <c r="BD145" s="639" t="e">
        <f>BD144-#REF!</f>
        <v>#REF!</v>
      </c>
      <c r="BE145" s="355"/>
    </row>
    <row r="146" spans="1:57" ht="19.5">
      <c r="A146" s="118"/>
      <c r="B146" s="120" t="s">
        <v>64</v>
      </c>
      <c r="C146" s="121" t="s">
        <v>25</v>
      </c>
      <c r="D146" s="640">
        <f>D140+D142+D144</f>
        <v>16925.034534</v>
      </c>
      <c r="E146" s="118"/>
      <c r="F146" s="123" t="s">
        <v>64</v>
      </c>
      <c r="G146" s="124" t="s">
        <v>25</v>
      </c>
      <c r="H146" s="277">
        <f>H140+H142+H144</f>
        <v>1477.77984</v>
      </c>
      <c r="I146" s="118"/>
      <c r="J146" s="123" t="s">
        <v>64</v>
      </c>
      <c r="K146" s="124" t="s">
        <v>25</v>
      </c>
      <c r="L146" s="277">
        <f>L140+L142+L144</f>
        <v>1075.12944</v>
      </c>
      <c r="M146" s="118"/>
      <c r="N146" s="123" t="s">
        <v>64</v>
      </c>
      <c r="O146" s="124" t="s">
        <v>25</v>
      </c>
      <c r="P146" s="277">
        <f>P140+P142+P144</f>
        <v>1035.166626</v>
      </c>
      <c r="Q146" s="118"/>
      <c r="R146" s="123" t="s">
        <v>64</v>
      </c>
      <c r="S146" s="124" t="s">
        <v>25</v>
      </c>
      <c r="T146" s="277">
        <f>T140+T142+T144</f>
        <v>1031.731998</v>
      </c>
      <c r="U146" s="118"/>
      <c r="V146" s="123" t="s">
        <v>64</v>
      </c>
      <c r="W146" s="124" t="s">
        <v>25</v>
      </c>
      <c r="X146" s="277">
        <f>X140+X142+X144</f>
        <v>1069.84416</v>
      </c>
      <c r="Y146" s="118"/>
      <c r="Z146" s="123" t="s">
        <v>64</v>
      </c>
      <c r="AA146" s="124" t="s">
        <v>25</v>
      </c>
      <c r="AB146" s="277">
        <f>AB140+AB142+AB144</f>
        <v>3157.7667300000003</v>
      </c>
      <c r="AC146" s="118"/>
      <c r="AD146" s="123" t="s">
        <v>64</v>
      </c>
      <c r="AE146" s="124" t="s">
        <v>25</v>
      </c>
      <c r="AF146" s="277">
        <f>AF140+AF142+AF144</f>
        <v>1470.358908</v>
      </c>
      <c r="AG146" s="118"/>
      <c r="AH146" s="123" t="s">
        <v>64</v>
      </c>
      <c r="AI146" s="124" t="s">
        <v>25</v>
      </c>
      <c r="AJ146" s="277">
        <f>AJ140+AJ142+AJ144</f>
        <v>1116.3028800000002</v>
      </c>
      <c r="AK146" s="118"/>
      <c r="AL146" s="123" t="s">
        <v>64</v>
      </c>
      <c r="AM146" s="124" t="s">
        <v>25</v>
      </c>
      <c r="AN146" s="277">
        <f>AN140+AN142+AN144</f>
        <v>2702.9032799999995</v>
      </c>
      <c r="AO146" s="118"/>
      <c r="AP146" s="123" t="s">
        <v>64</v>
      </c>
      <c r="AQ146" s="124" t="s">
        <v>25</v>
      </c>
      <c r="AR146" s="277">
        <f>AR140+AR142+AR144</f>
        <v>863.94894</v>
      </c>
      <c r="AS146" s="118"/>
      <c r="AT146" s="123" t="s">
        <v>64</v>
      </c>
      <c r="AU146" s="124" t="s">
        <v>25</v>
      </c>
      <c r="AV146" s="277">
        <f>AV140+AV142+AV144</f>
        <v>496.58531999999997</v>
      </c>
      <c r="AW146" s="118"/>
      <c r="AX146" s="123" t="s">
        <v>64</v>
      </c>
      <c r="AY146" s="124" t="s">
        <v>25</v>
      </c>
      <c r="AZ146" s="277">
        <f>AZ140+AZ142+AZ144</f>
        <v>959.00112</v>
      </c>
      <c r="BA146" s="118"/>
      <c r="BB146" s="123" t="s">
        <v>64</v>
      </c>
      <c r="BC146" s="124" t="s">
        <v>25</v>
      </c>
      <c r="BD146" s="277">
        <f>BD140+BD142+BD144</f>
        <v>468.51529199999993</v>
      </c>
      <c r="BE146" s="355"/>
    </row>
    <row r="147" spans="1:57" ht="19.5">
      <c r="A147" s="300"/>
      <c r="B147" s="301"/>
      <c r="C147" s="302"/>
      <c r="D147" s="303"/>
      <c r="E147" s="300"/>
      <c r="F147" s="305"/>
      <c r="G147" s="306"/>
      <c r="H147" s="304"/>
      <c r="I147" s="300"/>
      <c r="J147" s="305"/>
      <c r="K147" s="306"/>
      <c r="L147" s="304"/>
      <c r="M147" s="300"/>
      <c r="N147" s="305"/>
      <c r="O147" s="306"/>
      <c r="P147" s="304"/>
      <c r="Q147" s="300"/>
      <c r="R147" s="305"/>
      <c r="S147" s="306"/>
      <c r="T147" s="304"/>
      <c r="U147" s="300"/>
      <c r="V147" s="305"/>
      <c r="W147" s="306"/>
      <c r="X147" s="304"/>
      <c r="Y147" s="300"/>
      <c r="Z147" s="305"/>
      <c r="AA147" s="306"/>
      <c r="AB147" s="304"/>
      <c r="AC147" s="300"/>
      <c r="AD147" s="305"/>
      <c r="AE147" s="306"/>
      <c r="AF147" s="304"/>
      <c r="AG147" s="300"/>
      <c r="AH147" s="305"/>
      <c r="AI147" s="306"/>
      <c r="AJ147" s="304"/>
      <c r="AK147" s="300"/>
      <c r="AL147" s="305"/>
      <c r="AM147" s="306"/>
      <c r="AN147" s="304"/>
      <c r="AO147" s="300"/>
      <c r="AP147" s="305"/>
      <c r="AQ147" s="306"/>
      <c r="AR147" s="304"/>
      <c r="AS147" s="300"/>
      <c r="AT147" s="305"/>
      <c r="AU147" s="306"/>
      <c r="AV147" s="304"/>
      <c r="AW147" s="300"/>
      <c r="AX147" s="305"/>
      <c r="AY147" s="306"/>
      <c r="AZ147" s="304"/>
      <c r="BA147" s="300"/>
      <c r="BB147" s="305"/>
      <c r="BC147" s="306"/>
      <c r="BD147" s="317"/>
      <c r="BE147" s="355"/>
    </row>
    <row r="148" spans="1:56" ht="19.5">
      <c r="A148" s="300"/>
      <c r="B148" s="301"/>
      <c r="C148" s="302"/>
      <c r="D148" s="303"/>
      <c r="E148" s="300"/>
      <c r="F148" s="305"/>
      <c r="G148" s="306"/>
      <c r="H148" s="304"/>
      <c r="I148" s="300"/>
      <c r="J148" s="305"/>
      <c r="K148" s="306"/>
      <c r="L148" s="304"/>
      <c r="M148" s="300"/>
      <c r="N148" s="305"/>
      <c r="O148" s="306"/>
      <c r="P148" s="304"/>
      <c r="Q148" s="300"/>
      <c r="R148" s="305"/>
      <c r="S148" s="306"/>
      <c r="T148" s="304"/>
      <c r="U148" s="300"/>
      <c r="V148" s="305"/>
      <c r="W148" s="306"/>
      <c r="X148" s="304"/>
      <c r="Y148" s="300"/>
      <c r="Z148" s="305"/>
      <c r="AA148" s="306"/>
      <c r="AB148" s="304"/>
      <c r="AC148" s="300"/>
      <c r="AD148" s="305"/>
      <c r="AE148" s="306"/>
      <c r="AF148" s="304"/>
      <c r="AG148" s="300"/>
      <c r="AH148" s="305"/>
      <c r="AI148" s="306"/>
      <c r="AJ148" s="304"/>
      <c r="AK148" s="300"/>
      <c r="AL148" s="305"/>
      <c r="AM148" s="306"/>
      <c r="AN148" s="304"/>
      <c r="AO148" s="300"/>
      <c r="AP148" s="305"/>
      <c r="AQ148" s="306"/>
      <c r="AR148" s="304"/>
      <c r="AS148" s="300"/>
      <c r="AT148" s="305"/>
      <c r="AU148" s="306"/>
      <c r="AV148" s="304"/>
      <c r="AW148" s="300"/>
      <c r="AX148" s="305"/>
      <c r="AY148" s="306"/>
      <c r="AZ148" s="304"/>
      <c r="BA148" s="300"/>
      <c r="BB148" s="305"/>
      <c r="BC148" s="306"/>
      <c r="BD148" s="304"/>
    </row>
    <row r="149" spans="1:56" ht="15">
      <c r="A149" s="78"/>
      <c r="B149" s="78"/>
      <c r="C149" s="125"/>
      <c r="D149" s="125"/>
      <c r="E149" s="78"/>
      <c r="F149" s="78"/>
      <c r="G149" s="125"/>
      <c r="H149" s="125"/>
      <c r="I149" s="78"/>
      <c r="J149" s="78"/>
      <c r="K149" s="125"/>
      <c r="L149" s="125"/>
      <c r="M149" s="78"/>
      <c r="N149" s="78"/>
      <c r="O149" s="125"/>
      <c r="P149" s="125"/>
      <c r="Q149" s="78"/>
      <c r="R149" s="78"/>
      <c r="S149" s="125"/>
      <c r="T149" s="125"/>
      <c r="U149" s="78"/>
      <c r="V149" s="78"/>
      <c r="W149" s="125"/>
      <c r="X149" s="125"/>
      <c r="Y149" s="78"/>
      <c r="Z149" s="78"/>
      <c r="AA149" s="125"/>
      <c r="AB149" s="125"/>
      <c r="AC149" s="78"/>
      <c r="AD149" s="78"/>
      <c r="AE149" s="125"/>
      <c r="AF149" s="125"/>
      <c r="AG149" s="78"/>
      <c r="AH149" s="78"/>
      <c r="AI149" s="125"/>
      <c r="AJ149" s="125"/>
      <c r="AK149" s="78"/>
      <c r="AL149" s="78"/>
      <c r="AM149" s="125"/>
      <c r="AN149" s="125"/>
      <c r="AO149" s="78"/>
      <c r="AP149" s="78"/>
      <c r="AQ149" s="125"/>
      <c r="AR149" s="125"/>
      <c r="AS149" s="78"/>
      <c r="AT149" s="78"/>
      <c r="AU149" s="125"/>
      <c r="AV149" s="125"/>
      <c r="AW149" s="78"/>
      <c r="AX149" s="78"/>
      <c r="AY149" s="125"/>
      <c r="AZ149" s="125"/>
      <c r="BA149" s="78"/>
      <c r="BB149" s="78"/>
      <c r="BC149" s="125"/>
      <c r="BD149" s="125"/>
    </row>
    <row r="150" spans="2:56" s="401" customFormat="1" ht="18.75">
      <c r="B150" s="686" t="s">
        <v>65</v>
      </c>
      <c r="C150" s="687"/>
      <c r="D150" s="686" t="s">
        <v>232</v>
      </c>
      <c r="F150" s="686" t="s">
        <v>65</v>
      </c>
      <c r="G150" s="687"/>
      <c r="H150" s="686" t="s">
        <v>232</v>
      </c>
      <c r="J150" s="686" t="s">
        <v>65</v>
      </c>
      <c r="K150" s="687"/>
      <c r="L150" s="686" t="s">
        <v>232</v>
      </c>
      <c r="N150" s="686" t="s">
        <v>65</v>
      </c>
      <c r="O150" s="687"/>
      <c r="P150" s="686" t="s">
        <v>232</v>
      </c>
      <c r="R150" s="686" t="s">
        <v>65</v>
      </c>
      <c r="S150" s="687"/>
      <c r="T150" s="686" t="s">
        <v>232</v>
      </c>
      <c r="V150" s="686" t="s">
        <v>65</v>
      </c>
      <c r="W150" s="687"/>
      <c r="X150" s="686" t="s">
        <v>232</v>
      </c>
      <c r="Z150" s="686" t="s">
        <v>65</v>
      </c>
      <c r="AA150" s="687"/>
      <c r="AB150" s="686" t="s">
        <v>232</v>
      </c>
      <c r="AD150" s="686" t="s">
        <v>65</v>
      </c>
      <c r="AE150" s="687"/>
      <c r="AF150" s="686" t="s">
        <v>232</v>
      </c>
      <c r="AH150" s="686" t="s">
        <v>65</v>
      </c>
      <c r="AI150" s="687"/>
      <c r="AJ150" s="686" t="s">
        <v>232</v>
      </c>
      <c r="AL150" s="686" t="s">
        <v>65</v>
      </c>
      <c r="AM150" s="687"/>
      <c r="AN150" s="686" t="s">
        <v>232</v>
      </c>
      <c r="AP150" s="686" t="s">
        <v>65</v>
      </c>
      <c r="AQ150" s="687"/>
      <c r="AR150" s="686" t="s">
        <v>232</v>
      </c>
      <c r="AT150" s="686" t="s">
        <v>65</v>
      </c>
      <c r="AU150" s="687"/>
      <c r="AV150" s="686" t="s">
        <v>232</v>
      </c>
      <c r="AX150" s="686" t="s">
        <v>65</v>
      </c>
      <c r="AY150" s="687"/>
      <c r="AZ150" s="686" t="s">
        <v>232</v>
      </c>
      <c r="BB150" s="686" t="s">
        <v>65</v>
      </c>
      <c r="BC150" s="687"/>
      <c r="BD150" s="686" t="s">
        <v>232</v>
      </c>
    </row>
    <row r="151" spans="2:56" s="401" customFormat="1" ht="18.75">
      <c r="B151" s="686"/>
      <c r="C151" s="688"/>
      <c r="D151" s="688"/>
      <c r="F151" s="686"/>
      <c r="G151" s="688"/>
      <c r="H151" s="688"/>
      <c r="J151" s="686"/>
      <c r="K151" s="688"/>
      <c r="L151" s="688"/>
      <c r="N151" s="686"/>
      <c r="O151" s="688"/>
      <c r="P151" s="688"/>
      <c r="R151" s="686"/>
      <c r="S151" s="688"/>
      <c r="T151" s="688"/>
      <c r="V151" s="686"/>
      <c r="W151" s="688"/>
      <c r="X151" s="688"/>
      <c r="Z151" s="686"/>
      <c r="AA151" s="688"/>
      <c r="AB151" s="688"/>
      <c r="AD151" s="686"/>
      <c r="AE151" s="688"/>
      <c r="AF151" s="688"/>
      <c r="AH151" s="686"/>
      <c r="AI151" s="688"/>
      <c r="AJ151" s="688"/>
      <c r="AL151" s="686"/>
      <c r="AM151" s="688"/>
      <c r="AN151" s="688"/>
      <c r="AP151" s="686"/>
      <c r="AQ151" s="688"/>
      <c r="AR151" s="688"/>
      <c r="AT151" s="686"/>
      <c r="AU151" s="688"/>
      <c r="AV151" s="688"/>
      <c r="AX151" s="686"/>
      <c r="AY151" s="688"/>
      <c r="AZ151" s="688"/>
      <c r="BB151" s="686"/>
      <c r="BC151" s="688"/>
      <c r="BD151" s="688"/>
    </row>
    <row r="152" spans="1:56" s="401" customFormat="1" ht="18.75" customHeight="1">
      <c r="A152" s="690"/>
      <c r="B152" s="689" t="s">
        <v>79</v>
      </c>
      <c r="C152" s="687"/>
      <c r="D152" s="689" t="s">
        <v>233</v>
      </c>
      <c r="E152" s="690"/>
      <c r="F152" s="689" t="s">
        <v>79</v>
      </c>
      <c r="G152" s="687"/>
      <c r="H152" s="689" t="s">
        <v>233</v>
      </c>
      <c r="I152" s="690"/>
      <c r="J152" s="689" t="s">
        <v>79</v>
      </c>
      <c r="K152" s="687"/>
      <c r="L152" s="689" t="s">
        <v>233</v>
      </c>
      <c r="M152" s="690"/>
      <c r="N152" s="689" t="s">
        <v>79</v>
      </c>
      <c r="O152" s="687"/>
      <c r="P152" s="689" t="s">
        <v>233</v>
      </c>
      <c r="Q152" s="690"/>
      <c r="R152" s="689" t="s">
        <v>79</v>
      </c>
      <c r="S152" s="687"/>
      <c r="T152" s="689" t="s">
        <v>233</v>
      </c>
      <c r="U152" s="690"/>
      <c r="V152" s="689" t="s">
        <v>79</v>
      </c>
      <c r="W152" s="687"/>
      <c r="X152" s="689" t="s">
        <v>233</v>
      </c>
      <c r="Y152" s="690"/>
      <c r="Z152" s="689" t="s">
        <v>79</v>
      </c>
      <c r="AA152" s="687"/>
      <c r="AB152" s="689" t="s">
        <v>233</v>
      </c>
      <c r="AC152" s="690"/>
      <c r="AD152" s="689" t="s">
        <v>79</v>
      </c>
      <c r="AE152" s="687"/>
      <c r="AF152" s="689" t="s">
        <v>233</v>
      </c>
      <c r="AG152" s="690"/>
      <c r="AH152" s="689" t="s">
        <v>79</v>
      </c>
      <c r="AI152" s="687"/>
      <c r="AJ152" s="689" t="s">
        <v>233</v>
      </c>
      <c r="AK152" s="690"/>
      <c r="AL152" s="689" t="s">
        <v>79</v>
      </c>
      <c r="AM152" s="687"/>
      <c r="AN152" s="689" t="s">
        <v>233</v>
      </c>
      <c r="AO152" s="690"/>
      <c r="AP152" s="689" t="s">
        <v>79</v>
      </c>
      <c r="AQ152" s="687"/>
      <c r="AR152" s="689" t="s">
        <v>233</v>
      </c>
      <c r="AS152" s="690"/>
      <c r="AT152" s="689" t="s">
        <v>79</v>
      </c>
      <c r="AU152" s="687"/>
      <c r="AV152" s="689" t="s">
        <v>233</v>
      </c>
      <c r="AW152" s="690"/>
      <c r="AX152" s="689" t="s">
        <v>79</v>
      </c>
      <c r="AY152" s="687"/>
      <c r="AZ152" s="689" t="s">
        <v>233</v>
      </c>
      <c r="BA152" s="690"/>
      <c r="BB152" s="689" t="s">
        <v>79</v>
      </c>
      <c r="BC152" s="687"/>
      <c r="BD152" s="689" t="s">
        <v>233</v>
      </c>
    </row>
    <row r="153" spans="1:56" s="401" customFormat="1" ht="18.75" customHeight="1">
      <c r="A153" s="690"/>
      <c r="B153" s="691"/>
      <c r="C153" s="692"/>
      <c r="D153" s="692"/>
      <c r="E153" s="690"/>
      <c r="F153" s="691"/>
      <c r="G153" s="692"/>
      <c r="H153" s="692"/>
      <c r="I153" s="690"/>
      <c r="J153" s="691"/>
      <c r="K153" s="692"/>
      <c r="L153" s="692"/>
      <c r="M153" s="690"/>
      <c r="N153" s="691"/>
      <c r="O153" s="692"/>
      <c r="P153" s="692"/>
      <c r="Q153" s="690"/>
      <c r="R153" s="691"/>
      <c r="S153" s="692"/>
      <c r="T153" s="692"/>
      <c r="U153" s="690"/>
      <c r="V153" s="691"/>
      <c r="W153" s="692"/>
      <c r="X153" s="692"/>
      <c r="Y153" s="690"/>
      <c r="Z153" s="691"/>
      <c r="AA153" s="692"/>
      <c r="AB153" s="692"/>
      <c r="AC153" s="690"/>
      <c r="AD153" s="691"/>
      <c r="AE153" s="692"/>
      <c r="AF153" s="692"/>
      <c r="AG153" s="690"/>
      <c r="AH153" s="691"/>
      <c r="AI153" s="692"/>
      <c r="AJ153" s="692"/>
      <c r="AK153" s="690"/>
      <c r="AL153" s="691"/>
      <c r="AM153" s="692"/>
      <c r="AN153" s="692"/>
      <c r="AO153" s="690"/>
      <c r="AP153" s="691"/>
      <c r="AQ153" s="692"/>
      <c r="AR153" s="692"/>
      <c r="AS153" s="690"/>
      <c r="AT153" s="691"/>
      <c r="AU153" s="692"/>
      <c r="AV153" s="692"/>
      <c r="AW153" s="690"/>
      <c r="AX153" s="691"/>
      <c r="AY153" s="692"/>
      <c r="AZ153" s="692"/>
      <c r="BA153" s="690"/>
      <c r="BB153" s="691"/>
      <c r="BC153" s="692"/>
      <c r="BD153" s="692"/>
    </row>
    <row r="154" spans="2:56" s="401" customFormat="1" ht="18.75" customHeight="1">
      <c r="B154" s="686" t="s">
        <v>293</v>
      </c>
      <c r="C154" s="687"/>
      <c r="D154" s="686" t="s">
        <v>300</v>
      </c>
      <c r="F154" s="686" t="s">
        <v>293</v>
      </c>
      <c r="G154" s="687"/>
      <c r="H154" s="686" t="s">
        <v>300</v>
      </c>
      <c r="J154" s="686" t="s">
        <v>293</v>
      </c>
      <c r="K154" s="687"/>
      <c r="L154" s="686" t="s">
        <v>300</v>
      </c>
      <c r="N154" s="686" t="s">
        <v>293</v>
      </c>
      <c r="O154" s="687"/>
      <c r="P154" s="686" t="s">
        <v>300</v>
      </c>
      <c r="R154" s="686" t="s">
        <v>293</v>
      </c>
      <c r="S154" s="687"/>
      <c r="T154" s="686" t="s">
        <v>300</v>
      </c>
      <c r="V154" s="686" t="s">
        <v>293</v>
      </c>
      <c r="W154" s="687"/>
      <c r="X154" s="686" t="s">
        <v>300</v>
      </c>
      <c r="Z154" s="686" t="s">
        <v>293</v>
      </c>
      <c r="AA154" s="687"/>
      <c r="AB154" s="686" t="s">
        <v>300</v>
      </c>
      <c r="AD154" s="686" t="s">
        <v>293</v>
      </c>
      <c r="AE154" s="687"/>
      <c r="AF154" s="686" t="s">
        <v>300</v>
      </c>
      <c r="AH154" s="686" t="s">
        <v>293</v>
      </c>
      <c r="AI154" s="687"/>
      <c r="AJ154" s="686" t="s">
        <v>300</v>
      </c>
      <c r="AL154" s="686" t="s">
        <v>293</v>
      </c>
      <c r="AM154" s="687"/>
      <c r="AN154" s="686" t="s">
        <v>300</v>
      </c>
      <c r="AP154" s="686" t="s">
        <v>293</v>
      </c>
      <c r="AQ154" s="687"/>
      <c r="AR154" s="686" t="s">
        <v>300</v>
      </c>
      <c r="AT154" s="686" t="s">
        <v>293</v>
      </c>
      <c r="AU154" s="687"/>
      <c r="AV154" s="686" t="s">
        <v>300</v>
      </c>
      <c r="AX154" s="686" t="s">
        <v>293</v>
      </c>
      <c r="AY154" s="687"/>
      <c r="AZ154" s="686" t="s">
        <v>300</v>
      </c>
      <c r="BB154" s="686" t="s">
        <v>293</v>
      </c>
      <c r="BC154" s="687"/>
      <c r="BD154" s="686" t="s">
        <v>300</v>
      </c>
    </row>
    <row r="155" spans="2:56" s="401" customFormat="1" ht="18.75" customHeight="1">
      <c r="B155" s="693"/>
      <c r="C155" s="688"/>
      <c r="D155" s="688"/>
      <c r="F155" s="693"/>
      <c r="G155" s="688"/>
      <c r="H155" s="688"/>
      <c r="J155" s="693"/>
      <c r="K155" s="688"/>
      <c r="L155" s="688"/>
      <c r="N155" s="693"/>
      <c r="O155" s="688"/>
      <c r="P155" s="688"/>
      <c r="R155" s="693"/>
      <c r="S155" s="688"/>
      <c r="T155" s="688"/>
      <c r="V155" s="693"/>
      <c r="W155" s="688"/>
      <c r="X155" s="688"/>
      <c r="Z155" s="693"/>
      <c r="AA155" s="688"/>
      <c r="AB155" s="688"/>
      <c r="AD155" s="693"/>
      <c r="AE155" s="688"/>
      <c r="AF155" s="688"/>
      <c r="AH155" s="693"/>
      <c r="AI155" s="688"/>
      <c r="AJ155" s="688"/>
      <c r="AL155" s="693"/>
      <c r="AM155" s="688"/>
      <c r="AN155" s="688"/>
      <c r="AP155" s="693"/>
      <c r="AQ155" s="688"/>
      <c r="AR155" s="688"/>
      <c r="AT155" s="693"/>
      <c r="AU155" s="688"/>
      <c r="AV155" s="688"/>
      <c r="AX155" s="693"/>
      <c r="AY155" s="688"/>
      <c r="AZ155" s="688"/>
      <c r="BB155" s="693"/>
      <c r="BC155" s="688"/>
      <c r="BD155" s="688"/>
    </row>
    <row r="156" spans="2:56" s="401" customFormat="1" ht="18.75" customHeight="1">
      <c r="B156" s="686" t="s">
        <v>66</v>
      </c>
      <c r="C156" s="687"/>
      <c r="D156" s="686" t="s">
        <v>234</v>
      </c>
      <c r="F156" s="686" t="s">
        <v>66</v>
      </c>
      <c r="G156" s="687"/>
      <c r="H156" s="686" t="s">
        <v>234</v>
      </c>
      <c r="J156" s="686" t="s">
        <v>66</v>
      </c>
      <c r="K156" s="687"/>
      <c r="L156" s="686" t="s">
        <v>234</v>
      </c>
      <c r="N156" s="686" t="s">
        <v>66</v>
      </c>
      <c r="O156" s="687"/>
      <c r="P156" s="686" t="s">
        <v>234</v>
      </c>
      <c r="R156" s="686" t="s">
        <v>66</v>
      </c>
      <c r="S156" s="687"/>
      <c r="T156" s="686" t="s">
        <v>234</v>
      </c>
      <c r="V156" s="686" t="s">
        <v>66</v>
      </c>
      <c r="W156" s="687"/>
      <c r="X156" s="686" t="s">
        <v>234</v>
      </c>
      <c r="Z156" s="686" t="s">
        <v>66</v>
      </c>
      <c r="AA156" s="687"/>
      <c r="AB156" s="686" t="s">
        <v>234</v>
      </c>
      <c r="AD156" s="686" t="s">
        <v>66</v>
      </c>
      <c r="AE156" s="687"/>
      <c r="AF156" s="686" t="s">
        <v>234</v>
      </c>
      <c r="AH156" s="686" t="s">
        <v>66</v>
      </c>
      <c r="AI156" s="687"/>
      <c r="AJ156" s="686" t="s">
        <v>234</v>
      </c>
      <c r="AL156" s="686" t="s">
        <v>66</v>
      </c>
      <c r="AM156" s="687"/>
      <c r="AN156" s="686" t="s">
        <v>234</v>
      </c>
      <c r="AP156" s="686" t="s">
        <v>66</v>
      </c>
      <c r="AQ156" s="687"/>
      <c r="AR156" s="686" t="s">
        <v>234</v>
      </c>
      <c r="AT156" s="686" t="s">
        <v>66</v>
      </c>
      <c r="AU156" s="687"/>
      <c r="AV156" s="686" t="s">
        <v>234</v>
      </c>
      <c r="AX156" s="686" t="s">
        <v>66</v>
      </c>
      <c r="AY156" s="687"/>
      <c r="AZ156" s="686" t="s">
        <v>234</v>
      </c>
      <c r="BB156" s="686" t="s">
        <v>66</v>
      </c>
      <c r="BC156" s="687"/>
      <c r="BD156" s="686" t="s">
        <v>234</v>
      </c>
    </row>
    <row r="157" spans="2:56" s="29" customFormat="1" ht="18.75" customHeight="1">
      <c r="B157" s="33"/>
      <c r="C157" s="48"/>
      <c r="D157" s="48"/>
      <c r="F157" s="33"/>
      <c r="G157" s="48"/>
      <c r="H157" s="48"/>
      <c r="J157" s="33"/>
      <c r="K157" s="48"/>
      <c r="L157" s="48"/>
      <c r="N157" s="33"/>
      <c r="O157" s="48"/>
      <c r="P157" s="48"/>
      <c r="R157" s="33"/>
      <c r="S157" s="48"/>
      <c r="T157" s="48"/>
      <c r="V157" s="33"/>
      <c r="W157" s="48"/>
      <c r="X157" s="48"/>
      <c r="Z157" s="33"/>
      <c r="AA157" s="48"/>
      <c r="AB157" s="48"/>
      <c r="AD157" s="33"/>
      <c r="AE157" s="48"/>
      <c r="AF157" s="48"/>
      <c r="AH157" s="33"/>
      <c r="AI157" s="48"/>
      <c r="AJ157" s="48"/>
      <c r="AL157" s="33"/>
      <c r="AM157" s="48"/>
      <c r="AN157" s="48"/>
      <c r="AP157" s="33"/>
      <c r="AQ157" s="48"/>
      <c r="AR157" s="48"/>
      <c r="AT157" s="33"/>
      <c r="AU157" s="48"/>
      <c r="AV157" s="48"/>
      <c r="AX157" s="33"/>
      <c r="AY157" s="48"/>
      <c r="AZ157" s="48"/>
      <c r="BB157" s="33"/>
      <c r="BC157" s="48"/>
      <c r="BD157" s="48"/>
    </row>
    <row r="158" spans="2:56" s="401" customFormat="1" ht="18.75" customHeight="1">
      <c r="B158" s="695"/>
      <c r="C158" s="737"/>
      <c r="D158" s="737"/>
      <c r="F158" s="686" t="s">
        <v>280</v>
      </c>
      <c r="G158" s="737"/>
      <c r="H158" s="737"/>
      <c r="J158" s="686" t="s">
        <v>281</v>
      </c>
      <c r="K158" s="737"/>
      <c r="L158" s="737"/>
      <c r="N158" s="686" t="s">
        <v>282</v>
      </c>
      <c r="O158" s="737"/>
      <c r="P158" s="737"/>
      <c r="R158" s="686" t="s">
        <v>283</v>
      </c>
      <c r="S158" s="737"/>
      <c r="T158" s="737"/>
      <c r="V158" s="686" t="s">
        <v>284</v>
      </c>
      <c r="W158" s="737"/>
      <c r="X158" s="737"/>
      <c r="Z158" s="686" t="s">
        <v>285</v>
      </c>
      <c r="AA158" s="737"/>
      <c r="AB158" s="737"/>
      <c r="AD158" s="686" t="s">
        <v>286</v>
      </c>
      <c r="AE158" s="737"/>
      <c r="AF158" s="737"/>
      <c r="AH158" s="686" t="s">
        <v>287</v>
      </c>
      <c r="AI158" s="737"/>
      <c r="AJ158" s="737"/>
      <c r="AL158" s="686" t="s">
        <v>288</v>
      </c>
      <c r="AM158" s="737"/>
      <c r="AN158" s="737"/>
      <c r="AP158" s="686" t="s">
        <v>289</v>
      </c>
      <c r="AQ158" s="737"/>
      <c r="AR158" s="737"/>
      <c r="AT158" s="686" t="s">
        <v>290</v>
      </c>
      <c r="AU158" s="737"/>
      <c r="AV158" s="737"/>
      <c r="AX158" s="686" t="s">
        <v>291</v>
      </c>
      <c r="AY158" s="737"/>
      <c r="AZ158" s="737"/>
      <c r="BB158" s="686" t="s">
        <v>292</v>
      </c>
      <c r="BC158" s="737"/>
      <c r="BD158" s="737"/>
    </row>
    <row r="159" spans="5:56" s="29" customFormat="1" ht="18.75" customHeight="1">
      <c r="E159" s="37"/>
      <c r="F159" s="33"/>
      <c r="G159" s="749"/>
      <c r="H159" s="749"/>
      <c r="J159" s="33"/>
      <c r="K159" s="749"/>
      <c r="L159" s="749"/>
      <c r="N159" s="33"/>
      <c r="O159" s="749"/>
      <c r="P159" s="749"/>
      <c r="R159" s="33"/>
      <c r="S159" s="749"/>
      <c r="T159" s="749"/>
      <c r="V159" s="33"/>
      <c r="W159" s="749"/>
      <c r="X159" s="749"/>
      <c r="Z159" s="33"/>
      <c r="AA159" s="749"/>
      <c r="AB159" s="749"/>
      <c r="AD159" s="33"/>
      <c r="AE159" s="749"/>
      <c r="AF159" s="749"/>
      <c r="AH159" s="33"/>
      <c r="AI159" s="749"/>
      <c r="AJ159" s="749"/>
      <c r="AL159" s="33"/>
      <c r="AM159" s="749"/>
      <c r="AN159" s="749"/>
      <c r="AP159" s="33"/>
      <c r="AQ159" s="749"/>
      <c r="AR159" s="749"/>
      <c r="AT159" s="33"/>
      <c r="AU159" s="749"/>
      <c r="AV159" s="749"/>
      <c r="AX159" s="33"/>
      <c r="AY159" s="749"/>
      <c r="AZ159" s="749"/>
      <c r="BB159" s="33"/>
      <c r="BC159" s="749"/>
      <c r="BD159" s="749"/>
    </row>
    <row r="160" spans="1:56" ht="15">
      <c r="A160" s="78"/>
      <c r="B160" s="78"/>
      <c r="C160" s="78"/>
      <c r="D160" s="78"/>
      <c r="E160" s="79"/>
      <c r="F160" s="78"/>
      <c r="G160" s="80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</row>
    <row r="161" spans="1:56" ht="15">
      <c r="A161" s="78"/>
      <c r="B161" s="78"/>
      <c r="C161" s="78"/>
      <c r="D161" s="78"/>
      <c r="E161" s="79"/>
      <c r="F161" s="78"/>
      <c r="G161" s="80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</row>
    <row r="162" spans="1:56" ht="15">
      <c r="A162" s="78"/>
      <c r="B162" s="78"/>
      <c r="C162" s="78"/>
      <c r="D162" s="78"/>
      <c r="E162" s="79"/>
      <c r="F162" s="78"/>
      <c r="G162" s="80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</row>
    <row r="163" spans="1:56" ht="15">
      <c r="A163" s="78"/>
      <c r="B163" s="78"/>
      <c r="C163" s="78"/>
      <c r="D163" s="78"/>
      <c r="E163" s="79"/>
      <c r="F163" s="78"/>
      <c r="G163" s="80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</row>
  </sheetData>
  <sheetProtection/>
  <mergeCells count="125">
    <mergeCell ref="AT18:AT20"/>
    <mergeCell ref="AW18:AW20"/>
    <mergeCell ref="BC18:BC20"/>
    <mergeCell ref="BA18:BA20"/>
    <mergeCell ref="BB18:BB20"/>
    <mergeCell ref="AO18:AO20"/>
    <mergeCell ref="AP18:AP20"/>
    <mergeCell ref="AR19:AR20"/>
    <mergeCell ref="AX18:AX20"/>
    <mergeCell ref="AV19:AV20"/>
    <mergeCell ref="AU18:AU20"/>
    <mergeCell ref="AQ158:AR158"/>
    <mergeCell ref="AQ159:AR159"/>
    <mergeCell ref="AQ18:AQ20"/>
    <mergeCell ref="AU158:AV158"/>
    <mergeCell ref="AU159:AV159"/>
    <mergeCell ref="AC18:AC20"/>
    <mergeCell ref="AL18:AL20"/>
    <mergeCell ref="AD18:AD20"/>
    <mergeCell ref="AS18:AS20"/>
    <mergeCell ref="AK18:AK20"/>
    <mergeCell ref="BC159:BD159"/>
    <mergeCell ref="AY159:AZ159"/>
    <mergeCell ref="AZ19:AZ20"/>
    <mergeCell ref="AY18:AY20"/>
    <mergeCell ref="BC158:BD158"/>
    <mergeCell ref="AY158:AZ158"/>
    <mergeCell ref="BD19:BD20"/>
    <mergeCell ref="AM159:AN159"/>
    <mergeCell ref="AN19:AN20"/>
    <mergeCell ref="AM18:AM20"/>
    <mergeCell ref="AI158:AJ158"/>
    <mergeCell ref="AE158:AF158"/>
    <mergeCell ref="AH18:AH20"/>
    <mergeCell ref="AM158:AN158"/>
    <mergeCell ref="AI159:AJ159"/>
    <mergeCell ref="AI18:AI20"/>
    <mergeCell ref="AJ19:AJ20"/>
    <mergeCell ref="W159:X159"/>
    <mergeCell ref="AA159:AB159"/>
    <mergeCell ref="AB19:AB20"/>
    <mergeCell ref="AA158:AB158"/>
    <mergeCell ref="X19:X20"/>
    <mergeCell ref="AG18:AG20"/>
    <mergeCell ref="AE18:AE20"/>
    <mergeCell ref="AF19:AF20"/>
    <mergeCell ref="AE159:AF159"/>
    <mergeCell ref="S159:T159"/>
    <mergeCell ref="O158:P158"/>
    <mergeCell ref="O159:P159"/>
    <mergeCell ref="T19:T20"/>
    <mergeCell ref="S158:T158"/>
    <mergeCell ref="Q18:Q20"/>
    <mergeCell ref="R18:R20"/>
    <mergeCell ref="S18:S20"/>
    <mergeCell ref="W18:W20"/>
    <mergeCell ref="Y18:Y20"/>
    <mergeCell ref="Z18:Z20"/>
    <mergeCell ref="L19:L20"/>
    <mergeCell ref="W158:X158"/>
    <mergeCell ref="U18:U20"/>
    <mergeCell ref="M18:M20"/>
    <mergeCell ref="N18:N20"/>
    <mergeCell ref="AA16:AB16"/>
    <mergeCell ref="S16:T16"/>
    <mergeCell ref="S15:T15"/>
    <mergeCell ref="G159:H159"/>
    <mergeCell ref="H19:H20"/>
    <mergeCell ref="G18:G20"/>
    <mergeCell ref="K159:L159"/>
    <mergeCell ref="O18:O20"/>
    <mergeCell ref="P19:P20"/>
    <mergeCell ref="V18:V20"/>
    <mergeCell ref="AA18:AA20"/>
    <mergeCell ref="Q6:T6"/>
    <mergeCell ref="U6:X6"/>
    <mergeCell ref="K158:L158"/>
    <mergeCell ref="K18:K20"/>
    <mergeCell ref="BA6:BD6"/>
    <mergeCell ref="AK6:AN6"/>
    <mergeCell ref="AO6:AR6"/>
    <mergeCell ref="AS6:AV6"/>
    <mergeCell ref="AW6:AZ6"/>
    <mergeCell ref="I6:L6"/>
    <mergeCell ref="E6:H6"/>
    <mergeCell ref="AI14:AJ14"/>
    <mergeCell ref="Y6:AB6"/>
    <mergeCell ref="AC6:AF6"/>
    <mergeCell ref="S14:T14"/>
    <mergeCell ref="AE14:AF14"/>
    <mergeCell ref="AA14:AB14"/>
    <mergeCell ref="AG6:AJ6"/>
    <mergeCell ref="M6:P6"/>
    <mergeCell ref="A18:A20"/>
    <mergeCell ref="B18:B20"/>
    <mergeCell ref="C18:C20"/>
    <mergeCell ref="D19:D20"/>
    <mergeCell ref="A7:D7"/>
    <mergeCell ref="A6:D6"/>
    <mergeCell ref="AM14:AN14"/>
    <mergeCell ref="AQ14:AR14"/>
    <mergeCell ref="AY15:AZ15"/>
    <mergeCell ref="C158:D158"/>
    <mergeCell ref="G158:H158"/>
    <mergeCell ref="E18:E20"/>
    <mergeCell ref="F18:F20"/>
    <mergeCell ref="J18:J20"/>
    <mergeCell ref="I18:I20"/>
    <mergeCell ref="AA15:AB15"/>
    <mergeCell ref="AM15:AN15"/>
    <mergeCell ref="AM16:AN16"/>
    <mergeCell ref="AQ16:AR16"/>
    <mergeCell ref="AE16:AF16"/>
    <mergeCell ref="AI15:AJ15"/>
    <mergeCell ref="AE15:AF15"/>
    <mergeCell ref="AI16:AJ16"/>
    <mergeCell ref="AQ15:AR15"/>
    <mergeCell ref="BC15:BD15"/>
    <mergeCell ref="AU16:AV16"/>
    <mergeCell ref="AY16:AZ16"/>
    <mergeCell ref="AU15:AV15"/>
    <mergeCell ref="AU14:AV14"/>
    <mergeCell ref="AY14:AZ14"/>
    <mergeCell ref="BC14:BD14"/>
    <mergeCell ref="BC16:BD16"/>
  </mergeCells>
  <printOptions/>
  <pageMargins left="0.95" right="0.15748031496062992" top="0.31" bottom="0.2755905511811024" header="0.23" footer="0.2362204724409449"/>
  <pageSetup horizontalDpi="600" verticalDpi="600" orientation="landscape" paperSize="9" scale="68" r:id="rId1"/>
  <colBreaks count="8" manualBreakCount="8">
    <brk id="4" max="157" man="1"/>
    <brk id="12" max="157" man="1"/>
    <brk id="24" max="157" man="1"/>
    <brk id="32" max="157" man="1"/>
    <brk id="36" max="157" man="1"/>
    <brk id="40" max="157" man="1"/>
    <brk id="44" max="157" man="1"/>
    <brk id="52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D164"/>
  <sheetViews>
    <sheetView view="pageBreakPreview" zoomScale="70" zoomScaleNormal="95" zoomScaleSheetLayoutView="70" workbookViewId="0" topLeftCell="A6">
      <selection activeCell="L53" sqref="L53:L78"/>
    </sheetView>
  </sheetViews>
  <sheetFormatPr defaultColWidth="9.00390625" defaultRowHeight="12.75"/>
  <cols>
    <col min="1" max="1" width="6.875" style="0" customWidth="1"/>
    <col min="2" max="2" width="44.25390625" style="0" customWidth="1"/>
    <col min="3" max="3" width="11.25390625" style="0" customWidth="1"/>
    <col min="4" max="4" width="12.875" style="0" customWidth="1"/>
    <col min="5" max="5" width="11.625" style="0" hidden="1" customWidth="1"/>
    <col min="6" max="6" width="11.75390625" style="0" hidden="1" customWidth="1"/>
    <col min="7" max="7" width="10.875" style="0" hidden="1" customWidth="1"/>
    <col min="8" max="8" width="11.375" style="0" hidden="1" customWidth="1"/>
    <col min="10" max="10" width="43.875" style="0" customWidth="1"/>
    <col min="11" max="11" width="9.875" style="0" customWidth="1"/>
    <col min="12" max="12" width="10.625" style="0" customWidth="1"/>
    <col min="14" max="14" width="39.75390625" style="0" customWidth="1"/>
    <col min="15" max="15" width="12.25390625" style="0" bestFit="1" customWidth="1"/>
    <col min="16" max="16" width="11.00390625" style="0" customWidth="1"/>
    <col min="18" max="18" width="39.75390625" style="0" customWidth="1"/>
    <col min="19" max="19" width="12.25390625" style="0" bestFit="1" customWidth="1"/>
    <col min="22" max="22" width="38.75390625" style="0" customWidth="1"/>
    <col min="23" max="23" width="10.25390625" style="0" customWidth="1"/>
    <col min="26" max="26" width="39.25390625" style="0" customWidth="1"/>
    <col min="27" max="27" width="12.25390625" style="0" bestFit="1" customWidth="1"/>
    <col min="30" max="30" width="43.875" style="0" customWidth="1"/>
    <col min="31" max="31" width="12.25390625" style="0" bestFit="1" customWidth="1"/>
    <col min="34" max="34" width="40.75390625" style="0" customWidth="1"/>
    <col min="35" max="35" width="12.25390625" style="0" bestFit="1" customWidth="1"/>
    <col min="36" max="36" width="9.875" style="0" customWidth="1"/>
    <col min="38" max="38" width="40.125" style="0" customWidth="1"/>
    <col min="39" max="39" width="10.00390625" style="0" customWidth="1"/>
    <col min="40" max="40" width="10.625" style="0" customWidth="1"/>
    <col min="42" max="42" width="40.875" style="0" customWidth="1"/>
    <col min="43" max="43" width="10.625" style="0" customWidth="1"/>
    <col min="44" max="44" width="13.125" style="0" customWidth="1"/>
    <col min="46" max="46" width="41.75390625" style="0" customWidth="1"/>
    <col min="47" max="47" width="10.875" style="0" customWidth="1"/>
    <col min="48" max="48" width="9.875" style="0" customWidth="1"/>
    <col min="50" max="50" width="40.375" style="0" customWidth="1"/>
    <col min="51" max="51" width="10.75390625" style="0" customWidth="1"/>
    <col min="52" max="52" width="9.75390625" style="0" customWidth="1"/>
    <col min="54" max="54" width="41.75390625" style="0" customWidth="1"/>
    <col min="55" max="55" width="12.25390625" style="0" bestFit="1" customWidth="1"/>
    <col min="58" max="58" width="43.375" style="0" customWidth="1"/>
    <col min="59" max="59" width="11.75390625" style="0" customWidth="1"/>
    <col min="62" max="62" width="41.125" style="0" customWidth="1"/>
    <col min="63" max="63" width="11.25390625" style="0" customWidth="1"/>
    <col min="66" max="66" width="39.75390625" style="0" customWidth="1"/>
    <col min="67" max="67" width="12.25390625" style="0" bestFit="1" customWidth="1"/>
    <col min="68" max="68" width="10.25390625" style="0" customWidth="1"/>
    <col min="70" max="70" width="39.25390625" style="0" customWidth="1"/>
    <col min="71" max="71" width="11.25390625" style="0" customWidth="1"/>
    <col min="74" max="74" width="45.25390625" style="0" customWidth="1"/>
    <col min="75" max="75" width="10.75390625" style="0" customWidth="1"/>
    <col min="76" max="76" width="9.75390625" style="0" customWidth="1"/>
    <col min="79" max="79" width="41.125" style="0" customWidth="1"/>
    <col min="80" max="80" width="10.625" style="0" customWidth="1"/>
    <col min="81" max="81" width="9.25390625" style="0" bestFit="1" customWidth="1"/>
    <col min="82" max="82" width="12.375" style="0" bestFit="1" customWidth="1"/>
  </cols>
  <sheetData>
    <row r="1" ht="12.75" customHeight="1" hidden="1"/>
    <row r="2" ht="12.75" customHeight="1" hidden="1"/>
    <row r="3" ht="12.75" customHeight="1" hidden="1"/>
    <row r="6" spans="1:81" ht="20.25">
      <c r="A6" s="323" t="s">
        <v>316</v>
      </c>
      <c r="B6" s="275"/>
      <c r="C6" s="275"/>
      <c r="D6" s="275"/>
      <c r="I6" s="275" t="str">
        <f>A6</f>
        <v>План текущего ремонта на 2014 года</v>
      </c>
      <c r="J6" s="275"/>
      <c r="K6" s="275"/>
      <c r="L6" s="275"/>
      <c r="M6" s="275" t="str">
        <f>A6</f>
        <v>План текущего ремонта на 2014 года</v>
      </c>
      <c r="N6" s="275"/>
      <c r="O6" s="275"/>
      <c r="P6" s="275"/>
      <c r="Q6" s="275" t="str">
        <f>M6</f>
        <v>План текущего ремонта на 2014 года</v>
      </c>
      <c r="R6" s="275"/>
      <c r="S6" s="275"/>
      <c r="T6" s="275"/>
      <c r="U6" s="275" t="str">
        <f>Q6</f>
        <v>План текущего ремонта на 2014 года</v>
      </c>
      <c r="V6" s="275"/>
      <c r="W6" s="275"/>
      <c r="X6" s="275"/>
      <c r="Y6" s="275" t="str">
        <f>U6</f>
        <v>План текущего ремонта на 2014 года</v>
      </c>
      <c r="Z6" s="275"/>
      <c r="AA6" s="275"/>
      <c r="AB6" s="275"/>
      <c r="AC6" s="275" t="str">
        <f>Y6</f>
        <v>План текущего ремонта на 2014 года</v>
      </c>
      <c r="AD6" s="275"/>
      <c r="AE6" s="275"/>
      <c r="AF6" s="275"/>
      <c r="AG6" s="275" t="str">
        <f>AC6</f>
        <v>План текущего ремонта на 2014 года</v>
      </c>
      <c r="AH6" s="275"/>
      <c r="AI6" s="275"/>
      <c r="AJ6" s="275"/>
      <c r="AK6" s="275" t="str">
        <f>AG6</f>
        <v>План текущего ремонта на 2014 года</v>
      </c>
      <c r="AL6" s="275"/>
      <c r="AM6" s="275"/>
      <c r="AN6" s="275"/>
      <c r="AO6" s="275" t="str">
        <f>AK6</f>
        <v>План текущего ремонта на 2014 года</v>
      </c>
      <c r="AP6" s="275"/>
      <c r="AQ6" s="275"/>
      <c r="AR6" s="275"/>
      <c r="AS6" s="275" t="str">
        <f>AO6</f>
        <v>План текущего ремонта на 2014 года</v>
      </c>
      <c r="AT6" s="275"/>
      <c r="AU6" s="275"/>
      <c r="AV6" s="275"/>
      <c r="AW6" s="275" t="str">
        <f>AS6</f>
        <v>План текущего ремонта на 2014 года</v>
      </c>
      <c r="AX6" s="275"/>
      <c r="AY6" s="275"/>
      <c r="AZ6" s="275"/>
      <c r="BA6" s="275" t="str">
        <f>AW6</f>
        <v>План текущего ремонта на 2014 года</v>
      </c>
      <c r="BB6" s="275"/>
      <c r="BC6" s="275"/>
      <c r="BD6" s="275"/>
      <c r="BE6" s="275" t="str">
        <f>BA6</f>
        <v>План текущего ремонта на 2014 года</v>
      </c>
      <c r="BF6" s="275"/>
      <c r="BG6" s="275"/>
      <c r="BH6" s="275"/>
      <c r="BI6" s="275" t="str">
        <f>BE6</f>
        <v>План текущего ремонта на 2014 года</v>
      </c>
      <c r="BJ6" s="275"/>
      <c r="BK6" s="275"/>
      <c r="BL6" s="275"/>
      <c r="BM6" s="275" t="str">
        <f>BI6</f>
        <v>План текущего ремонта на 2014 года</v>
      </c>
      <c r="BN6" s="275"/>
      <c r="BO6" s="275"/>
      <c r="BP6" s="275"/>
      <c r="BQ6" s="275" t="str">
        <f>BM6</f>
        <v>План текущего ремонта на 2014 года</v>
      </c>
      <c r="BR6" s="275"/>
      <c r="BS6" s="275"/>
      <c r="BT6" s="275"/>
      <c r="BU6" s="275" t="str">
        <f>BQ6</f>
        <v>План текущего ремонта на 2014 года</v>
      </c>
      <c r="BV6" s="275"/>
      <c r="BW6" s="275"/>
      <c r="BX6" s="275"/>
      <c r="BZ6" s="275" t="str">
        <f>BU6</f>
        <v>План текущего ремонта на 2014 года</v>
      </c>
      <c r="CA6" s="275"/>
      <c r="CB6" s="275"/>
      <c r="CC6" s="275"/>
    </row>
    <row r="7" spans="1:80" s="30" customFormat="1" ht="18.75">
      <c r="A7" s="746" t="s">
        <v>149</v>
      </c>
      <c r="B7" s="746"/>
      <c r="C7" s="746"/>
      <c r="D7" s="746"/>
      <c r="J7" s="30" t="s">
        <v>1</v>
      </c>
      <c r="K7" s="30" t="s">
        <v>122</v>
      </c>
      <c r="N7" s="30" t="s">
        <v>1</v>
      </c>
      <c r="O7" s="30" t="s">
        <v>123</v>
      </c>
      <c r="R7" s="30" t="s">
        <v>1</v>
      </c>
      <c r="S7" s="30" t="s">
        <v>124</v>
      </c>
      <c r="V7" s="30" t="s">
        <v>1</v>
      </c>
      <c r="W7" s="30" t="s">
        <v>125</v>
      </c>
      <c r="Z7" s="30" t="s">
        <v>1</v>
      </c>
      <c r="AA7" s="30" t="s">
        <v>126</v>
      </c>
      <c r="AD7" s="30" t="s">
        <v>1</v>
      </c>
      <c r="AE7" s="30" t="s">
        <v>127</v>
      </c>
      <c r="AH7" s="30" t="s">
        <v>1</v>
      </c>
      <c r="AI7" s="30" t="s">
        <v>128</v>
      </c>
      <c r="AL7" s="30" t="s">
        <v>1</v>
      </c>
      <c r="AM7" s="30" t="s">
        <v>129</v>
      </c>
      <c r="AP7" s="30" t="s">
        <v>1</v>
      </c>
      <c r="AQ7" s="30" t="s">
        <v>130</v>
      </c>
      <c r="AT7" s="30" t="s">
        <v>1</v>
      </c>
      <c r="AU7" s="30" t="s">
        <v>131</v>
      </c>
      <c r="AX7" s="30" t="s">
        <v>1</v>
      </c>
      <c r="AY7" s="30" t="s">
        <v>132</v>
      </c>
      <c r="BB7" s="30" t="s">
        <v>1</v>
      </c>
      <c r="BC7" s="30" t="s">
        <v>133</v>
      </c>
      <c r="BF7" s="30" t="s">
        <v>1</v>
      </c>
      <c r="BG7" s="30" t="s">
        <v>134</v>
      </c>
      <c r="BJ7" s="30" t="s">
        <v>1</v>
      </c>
      <c r="BK7" s="30" t="s">
        <v>135</v>
      </c>
      <c r="BN7" s="30" t="s">
        <v>1</v>
      </c>
      <c r="BO7" s="30" t="s">
        <v>136</v>
      </c>
      <c r="BR7" s="30" t="s">
        <v>1</v>
      </c>
      <c r="BS7" s="30" t="s">
        <v>137</v>
      </c>
      <c r="BV7" s="30" t="s">
        <v>1</v>
      </c>
      <c r="BW7" s="30" t="s">
        <v>138</v>
      </c>
      <c r="CA7" s="30" t="s">
        <v>1</v>
      </c>
      <c r="CB7" s="30" t="s">
        <v>301</v>
      </c>
    </row>
    <row r="8" spans="1:81" s="30" customFormat="1" ht="18.75">
      <c r="A8" s="209"/>
      <c r="B8" s="31"/>
      <c r="C8" s="31"/>
      <c r="D8"/>
      <c r="E8"/>
      <c r="F8"/>
      <c r="G8"/>
      <c r="H8"/>
      <c r="I8"/>
      <c r="J8" t="s">
        <v>5</v>
      </c>
      <c r="K8">
        <v>9</v>
      </c>
      <c r="L8" t="s">
        <v>320</v>
      </c>
      <c r="M8"/>
      <c r="N8" t="s">
        <v>5</v>
      </c>
      <c r="O8">
        <v>9</v>
      </c>
      <c r="P8" t="s">
        <v>320</v>
      </c>
      <c r="Q8"/>
      <c r="R8" t="s">
        <v>5</v>
      </c>
      <c r="S8">
        <v>5</v>
      </c>
      <c r="T8" t="s">
        <v>320</v>
      </c>
      <c r="U8"/>
      <c r="V8" t="s">
        <v>5</v>
      </c>
      <c r="W8">
        <v>5</v>
      </c>
      <c r="X8" t="s">
        <v>320</v>
      </c>
      <c r="Y8"/>
      <c r="Z8" t="s">
        <v>5</v>
      </c>
      <c r="AA8">
        <v>5</v>
      </c>
      <c r="AB8" t="s">
        <v>320</v>
      </c>
      <c r="AC8"/>
      <c r="AD8" t="s">
        <v>5</v>
      </c>
      <c r="AE8">
        <v>5</v>
      </c>
      <c r="AF8" t="s">
        <v>321</v>
      </c>
      <c r="AG8"/>
      <c r="AH8" t="s">
        <v>5</v>
      </c>
      <c r="AI8">
        <v>9</v>
      </c>
      <c r="AJ8" t="s">
        <v>321</v>
      </c>
      <c r="AK8"/>
      <c r="AL8" t="s">
        <v>5</v>
      </c>
      <c r="AM8">
        <v>9</v>
      </c>
      <c r="AN8" t="s">
        <v>321</v>
      </c>
      <c r="AO8"/>
      <c r="AP8" t="s">
        <v>5</v>
      </c>
      <c r="AQ8">
        <v>5</v>
      </c>
      <c r="AR8" t="s">
        <v>320</v>
      </c>
      <c r="AS8"/>
      <c r="AT8" t="s">
        <v>5</v>
      </c>
      <c r="AU8">
        <v>9</v>
      </c>
      <c r="AV8" t="s">
        <v>321</v>
      </c>
      <c r="AW8"/>
      <c r="AX8" t="s">
        <v>5</v>
      </c>
      <c r="AY8">
        <v>9</v>
      </c>
      <c r="AZ8" t="s">
        <v>320</v>
      </c>
      <c r="BA8"/>
      <c r="BB8" t="s">
        <v>5</v>
      </c>
      <c r="BC8">
        <v>5</v>
      </c>
      <c r="BD8" t="s">
        <v>320</v>
      </c>
      <c r="BE8"/>
      <c r="BF8" t="s">
        <v>5</v>
      </c>
      <c r="BG8">
        <v>5</v>
      </c>
      <c r="BH8" t="s">
        <v>321</v>
      </c>
      <c r="BI8"/>
      <c r="BJ8" t="s">
        <v>5</v>
      </c>
      <c r="BK8">
        <v>5</v>
      </c>
      <c r="BL8" t="s">
        <v>320</v>
      </c>
      <c r="BM8"/>
      <c r="BN8" t="s">
        <v>5</v>
      </c>
      <c r="BO8">
        <v>9</v>
      </c>
      <c r="BP8" t="s">
        <v>320</v>
      </c>
      <c r="BQ8" s="32"/>
      <c r="BR8" s="32" t="s">
        <v>5</v>
      </c>
      <c r="BS8" s="32">
        <v>5</v>
      </c>
      <c r="BT8" s="32" t="s">
        <v>320</v>
      </c>
      <c r="BU8"/>
      <c r="BV8" t="s">
        <v>5</v>
      </c>
      <c r="BW8">
        <v>5</v>
      </c>
      <c r="BX8" t="s">
        <v>321</v>
      </c>
      <c r="BY8"/>
      <c r="BZ8"/>
      <c r="CA8" t="s">
        <v>5</v>
      </c>
      <c r="CB8">
        <v>5</v>
      </c>
      <c r="CC8" t="s">
        <v>321</v>
      </c>
    </row>
    <row r="9" spans="1:81" s="30" customFormat="1" ht="18.75">
      <c r="A9" s="209"/>
      <c r="B9" s="61" t="s">
        <v>2</v>
      </c>
      <c r="C9" s="62">
        <f>K9+O9+S9+W9+AA9+AE9+AI9+AM9+AQ9+AU9+AY9+BC9+BG9+BK9+BO9+BS9+BW9+CB9</f>
        <v>182</v>
      </c>
      <c r="D9"/>
      <c r="E9"/>
      <c r="F9"/>
      <c r="G9"/>
      <c r="H9"/>
      <c r="I9"/>
      <c r="J9" t="s">
        <v>2</v>
      </c>
      <c r="K9">
        <v>6</v>
      </c>
      <c r="L9"/>
      <c r="M9"/>
      <c r="N9" t="s">
        <v>2</v>
      </c>
      <c r="O9">
        <v>12</v>
      </c>
      <c r="P9"/>
      <c r="Q9"/>
      <c r="R9" t="s">
        <v>2</v>
      </c>
      <c r="S9">
        <v>7</v>
      </c>
      <c r="T9"/>
      <c r="U9"/>
      <c r="V9" t="s">
        <v>2</v>
      </c>
      <c r="W9">
        <v>15</v>
      </c>
      <c r="X9"/>
      <c r="Y9"/>
      <c r="Z9" t="s">
        <v>2</v>
      </c>
      <c r="AA9">
        <v>7</v>
      </c>
      <c r="AB9"/>
      <c r="AC9"/>
      <c r="AD9" t="s">
        <v>2</v>
      </c>
      <c r="AE9">
        <v>4</v>
      </c>
      <c r="AF9"/>
      <c r="AG9"/>
      <c r="AH9" t="s">
        <v>2</v>
      </c>
      <c r="AI9">
        <v>7</v>
      </c>
      <c r="AJ9"/>
      <c r="AK9"/>
      <c r="AL9" t="s">
        <v>2</v>
      </c>
      <c r="AM9">
        <v>8</v>
      </c>
      <c r="AN9"/>
      <c r="AO9"/>
      <c r="AP9" t="s">
        <v>2</v>
      </c>
      <c r="AQ9">
        <v>30</v>
      </c>
      <c r="AR9"/>
      <c r="AS9"/>
      <c r="AT9" t="s">
        <v>2</v>
      </c>
      <c r="AU9">
        <v>8</v>
      </c>
      <c r="AV9"/>
      <c r="AW9"/>
      <c r="AX9" t="s">
        <v>2</v>
      </c>
      <c r="AY9">
        <v>10</v>
      </c>
      <c r="AZ9"/>
      <c r="BA9"/>
      <c r="BB9" t="s">
        <v>2</v>
      </c>
      <c r="BC9">
        <v>15</v>
      </c>
      <c r="BD9"/>
      <c r="BE9"/>
      <c r="BF9" t="s">
        <v>2</v>
      </c>
      <c r="BG9">
        <v>8</v>
      </c>
      <c r="BH9"/>
      <c r="BI9"/>
      <c r="BJ9" t="s">
        <v>2</v>
      </c>
      <c r="BK9">
        <v>12</v>
      </c>
      <c r="BL9"/>
      <c r="BM9"/>
      <c r="BN9" t="s">
        <v>2</v>
      </c>
      <c r="BO9">
        <v>7</v>
      </c>
      <c r="BP9"/>
      <c r="BQ9" s="32"/>
      <c r="BR9" s="32" t="s">
        <v>2</v>
      </c>
      <c r="BS9" s="32">
        <v>15</v>
      </c>
      <c r="BT9" s="32"/>
      <c r="BU9"/>
      <c r="BV9" t="s">
        <v>2</v>
      </c>
      <c r="BW9">
        <v>7</v>
      </c>
      <c r="BX9"/>
      <c r="BY9"/>
      <c r="BZ9"/>
      <c r="CA9" t="s">
        <v>2</v>
      </c>
      <c r="CB9">
        <v>4</v>
      </c>
      <c r="CC9"/>
    </row>
    <row r="10" spans="1:81" s="30" customFormat="1" ht="18.75" hidden="1">
      <c r="A10" s="209"/>
      <c r="B10" t="s">
        <v>3</v>
      </c>
      <c r="C10"/>
      <c r="D10"/>
      <c r="E10"/>
      <c r="F10"/>
      <c r="G10"/>
      <c r="H10"/>
      <c r="I10"/>
      <c r="J10" t="s">
        <v>3</v>
      </c>
      <c r="K10"/>
      <c r="L10"/>
      <c r="M10"/>
      <c r="N10" t="s">
        <v>3</v>
      </c>
      <c r="O10"/>
      <c r="P10"/>
      <c r="Q10"/>
      <c r="R10" t="s">
        <v>3</v>
      </c>
      <c r="S10"/>
      <c r="T10"/>
      <c r="U10"/>
      <c r="V10" t="s">
        <v>3</v>
      </c>
      <c r="W10"/>
      <c r="X10"/>
      <c r="Y10"/>
      <c r="Z10" t="s">
        <v>3</v>
      </c>
      <c r="AA10"/>
      <c r="AB10"/>
      <c r="AC10"/>
      <c r="AD10" t="s">
        <v>3</v>
      </c>
      <c r="AE10"/>
      <c r="AF10"/>
      <c r="AG10"/>
      <c r="AH10" t="s">
        <v>3</v>
      </c>
      <c r="AI10"/>
      <c r="AJ10"/>
      <c r="AK10"/>
      <c r="AL10" t="s">
        <v>3</v>
      </c>
      <c r="AM10"/>
      <c r="AN10"/>
      <c r="AO10"/>
      <c r="AP10" t="s">
        <v>3</v>
      </c>
      <c r="AQ10"/>
      <c r="AR10"/>
      <c r="AS10"/>
      <c r="AT10" t="s">
        <v>3</v>
      </c>
      <c r="AU10"/>
      <c r="AV10"/>
      <c r="AW10"/>
      <c r="AX10" t="s">
        <v>3</v>
      </c>
      <c r="AY10"/>
      <c r="AZ10"/>
      <c r="BA10"/>
      <c r="BB10" t="s">
        <v>3</v>
      </c>
      <c r="BC10"/>
      <c r="BD10"/>
      <c r="BE10"/>
      <c r="BF10" t="s">
        <v>3</v>
      </c>
      <c r="BG10"/>
      <c r="BH10"/>
      <c r="BI10"/>
      <c r="BJ10" t="s">
        <v>3</v>
      </c>
      <c r="BK10"/>
      <c r="BL10"/>
      <c r="BM10"/>
      <c r="BN10" t="s">
        <v>3</v>
      </c>
      <c r="BO10"/>
      <c r="BP10"/>
      <c r="BQ10" s="32"/>
      <c r="BR10" s="32" t="s">
        <v>3</v>
      </c>
      <c r="BS10" s="32"/>
      <c r="BT10" s="32"/>
      <c r="BU10"/>
      <c r="BV10" t="s">
        <v>3</v>
      </c>
      <c r="BW10"/>
      <c r="BX10"/>
      <c r="BY10"/>
      <c r="BZ10"/>
      <c r="CA10" t="s">
        <v>3</v>
      </c>
      <c r="CB10"/>
      <c r="CC10"/>
    </row>
    <row r="11" spans="1:81" s="30" customFormat="1" ht="18.75" hidden="1">
      <c r="A11" s="209"/>
      <c r="B11" t="s">
        <v>4</v>
      </c>
      <c r="C11"/>
      <c r="D11"/>
      <c r="E11"/>
      <c r="F11"/>
      <c r="G11"/>
      <c r="H11"/>
      <c r="I11"/>
      <c r="J11" t="s">
        <v>4</v>
      </c>
      <c r="K11"/>
      <c r="L11"/>
      <c r="M11"/>
      <c r="N11" t="s">
        <v>4</v>
      </c>
      <c r="O11"/>
      <c r="P11"/>
      <c r="Q11"/>
      <c r="R11" t="s">
        <v>4</v>
      </c>
      <c r="S11"/>
      <c r="T11"/>
      <c r="U11"/>
      <c r="V11" t="s">
        <v>4</v>
      </c>
      <c r="W11"/>
      <c r="X11"/>
      <c r="Y11"/>
      <c r="Z11" t="s">
        <v>4</v>
      </c>
      <c r="AA11"/>
      <c r="AB11"/>
      <c r="AC11"/>
      <c r="AD11" t="s">
        <v>4</v>
      </c>
      <c r="AE11"/>
      <c r="AF11"/>
      <c r="AG11"/>
      <c r="AH11" t="s">
        <v>4</v>
      </c>
      <c r="AI11"/>
      <c r="AJ11"/>
      <c r="AK11"/>
      <c r="AL11" t="s">
        <v>4</v>
      </c>
      <c r="AM11"/>
      <c r="AN11"/>
      <c r="AO11"/>
      <c r="AP11" t="s">
        <v>4</v>
      </c>
      <c r="AQ11"/>
      <c r="AR11"/>
      <c r="AS11"/>
      <c r="AT11" t="s">
        <v>4</v>
      </c>
      <c r="AU11"/>
      <c r="AV11"/>
      <c r="AW11"/>
      <c r="AX11" t="s">
        <v>4</v>
      </c>
      <c r="AY11"/>
      <c r="AZ11"/>
      <c r="BA11"/>
      <c r="BB11" t="s">
        <v>4</v>
      </c>
      <c r="BC11"/>
      <c r="BD11"/>
      <c r="BE11"/>
      <c r="BF11" t="s">
        <v>4</v>
      </c>
      <c r="BG11"/>
      <c r="BH11"/>
      <c r="BI11"/>
      <c r="BJ11" t="s">
        <v>4</v>
      </c>
      <c r="BK11"/>
      <c r="BL11"/>
      <c r="BM11"/>
      <c r="BN11" t="s">
        <v>4</v>
      </c>
      <c r="BO11"/>
      <c r="BP11"/>
      <c r="BQ11" s="32"/>
      <c r="BR11" s="32" t="s">
        <v>4</v>
      </c>
      <c r="BS11" s="32"/>
      <c r="BT11" s="32"/>
      <c r="BU11"/>
      <c r="BV11" t="s">
        <v>4</v>
      </c>
      <c r="BW11"/>
      <c r="BX11"/>
      <c r="BY11"/>
      <c r="BZ11"/>
      <c r="CA11" t="s">
        <v>4</v>
      </c>
      <c r="CB11"/>
      <c r="CC11"/>
    </row>
    <row r="12" spans="1:4" s="30" customFormat="1" ht="18.75">
      <c r="A12" s="209"/>
      <c r="B12" s="209"/>
      <c r="C12" s="209"/>
      <c r="D12" s="209"/>
    </row>
    <row r="13" spans="1:81" s="30" customFormat="1" ht="18.75" customHeight="1" hidden="1">
      <c r="A13" s="209"/>
      <c r="B13" s="281" t="s">
        <v>306</v>
      </c>
      <c r="C13" s="281"/>
      <c r="D13" s="281"/>
      <c r="E13" s="78"/>
      <c r="J13" s="281" t="s">
        <v>306</v>
      </c>
      <c r="K13" s="281"/>
      <c r="L13" s="281"/>
      <c r="N13" s="281" t="s">
        <v>306</v>
      </c>
      <c r="O13" s="281"/>
      <c r="P13" s="281"/>
      <c r="R13" s="281" t="s">
        <v>306</v>
      </c>
      <c r="S13" s="281"/>
      <c r="T13" s="281"/>
      <c r="V13" s="281" t="s">
        <v>306</v>
      </c>
      <c r="W13" s="281"/>
      <c r="X13" s="281"/>
      <c r="Z13" s="281" t="s">
        <v>306</v>
      </c>
      <c r="AA13" s="281"/>
      <c r="AB13" s="281"/>
      <c r="AD13" s="281" t="s">
        <v>306</v>
      </c>
      <c r="AE13" s="281"/>
      <c r="AF13" s="281"/>
      <c r="AH13" s="281" t="s">
        <v>306</v>
      </c>
      <c r="AI13" s="281"/>
      <c r="AJ13" s="281"/>
      <c r="AL13" s="281" t="s">
        <v>306</v>
      </c>
      <c r="AM13" s="281"/>
      <c r="AN13" s="281"/>
      <c r="AP13" s="281" t="s">
        <v>306</v>
      </c>
      <c r="AQ13" s="281"/>
      <c r="AR13" s="281"/>
      <c r="AT13" s="281" t="s">
        <v>306</v>
      </c>
      <c r="AU13" s="281"/>
      <c r="AV13" s="281"/>
      <c r="AX13" s="281" t="s">
        <v>306</v>
      </c>
      <c r="AY13" s="281"/>
      <c r="AZ13" s="281"/>
      <c r="BB13" s="281" t="s">
        <v>306</v>
      </c>
      <c r="BC13" s="281"/>
      <c r="BD13" s="281"/>
      <c r="BF13" s="281" t="s">
        <v>306</v>
      </c>
      <c r="BG13" s="281"/>
      <c r="BH13" s="281"/>
      <c r="BJ13" s="281" t="s">
        <v>306</v>
      </c>
      <c r="BK13" s="281"/>
      <c r="BL13" s="281"/>
      <c r="BN13" s="281" t="s">
        <v>306</v>
      </c>
      <c r="BO13" s="281"/>
      <c r="BP13" s="281"/>
      <c r="BS13" s="281" t="s">
        <v>306</v>
      </c>
      <c r="BT13" s="281"/>
      <c r="BW13" s="281" t="s">
        <v>306</v>
      </c>
      <c r="BX13" s="281"/>
      <c r="CA13" s="281" t="s">
        <v>306</v>
      </c>
      <c r="CB13" s="281"/>
      <c r="CC13" s="281"/>
    </row>
    <row r="14" spans="1:81" s="30" customFormat="1" ht="54.75" customHeight="1" hidden="1">
      <c r="A14" s="209"/>
      <c r="B14" s="282"/>
      <c r="C14" s="283" t="s">
        <v>303</v>
      </c>
      <c r="D14" s="283" t="s">
        <v>304</v>
      </c>
      <c r="E14" s="284" t="s">
        <v>308</v>
      </c>
      <c r="J14" s="282"/>
      <c r="K14" s="283" t="s">
        <v>303</v>
      </c>
      <c r="L14" s="283" t="s">
        <v>304</v>
      </c>
      <c r="N14" s="282"/>
      <c r="O14" s="283" t="s">
        <v>303</v>
      </c>
      <c r="P14" s="283" t="s">
        <v>304</v>
      </c>
      <c r="R14" s="282"/>
      <c r="S14" s="283" t="s">
        <v>303</v>
      </c>
      <c r="T14" s="283" t="s">
        <v>304</v>
      </c>
      <c r="V14" s="282"/>
      <c r="W14" s="283" t="s">
        <v>303</v>
      </c>
      <c r="X14" s="283" t="s">
        <v>304</v>
      </c>
      <c r="Z14" s="282"/>
      <c r="AA14" s="283" t="s">
        <v>303</v>
      </c>
      <c r="AB14" s="283" t="s">
        <v>304</v>
      </c>
      <c r="AD14" s="282"/>
      <c r="AE14" s="283" t="s">
        <v>303</v>
      </c>
      <c r="AF14" s="283" t="s">
        <v>304</v>
      </c>
      <c r="AH14" s="282"/>
      <c r="AI14" s="283" t="s">
        <v>303</v>
      </c>
      <c r="AJ14" s="283" t="s">
        <v>304</v>
      </c>
      <c r="AL14" s="282"/>
      <c r="AM14" s="283" t="s">
        <v>303</v>
      </c>
      <c r="AN14" s="283" t="s">
        <v>304</v>
      </c>
      <c r="AP14" s="282"/>
      <c r="AQ14" s="283" t="s">
        <v>303</v>
      </c>
      <c r="AR14" s="283" t="s">
        <v>304</v>
      </c>
      <c r="AT14" s="282"/>
      <c r="AU14" s="283" t="s">
        <v>303</v>
      </c>
      <c r="AV14" s="283" t="s">
        <v>304</v>
      </c>
      <c r="AX14" s="282"/>
      <c r="AY14" s="283" t="s">
        <v>303</v>
      </c>
      <c r="AZ14" s="283" t="s">
        <v>304</v>
      </c>
      <c r="BB14" s="282"/>
      <c r="BC14" s="283" t="s">
        <v>303</v>
      </c>
      <c r="BD14" s="283" t="s">
        <v>304</v>
      </c>
      <c r="BF14" s="282"/>
      <c r="BG14" s="283" t="s">
        <v>303</v>
      </c>
      <c r="BH14" s="283" t="s">
        <v>304</v>
      </c>
      <c r="BJ14" s="282"/>
      <c r="BK14" s="283" t="s">
        <v>303</v>
      </c>
      <c r="BL14" s="283" t="s">
        <v>304</v>
      </c>
      <c r="BN14" s="282"/>
      <c r="BO14" s="283" t="s">
        <v>303</v>
      </c>
      <c r="BP14" s="283" t="s">
        <v>304</v>
      </c>
      <c r="BS14" s="283" t="s">
        <v>303</v>
      </c>
      <c r="BT14" s="283" t="s">
        <v>304</v>
      </c>
      <c r="BW14" s="283" t="s">
        <v>303</v>
      </c>
      <c r="BX14" s="283" t="s">
        <v>304</v>
      </c>
      <c r="CA14" s="282"/>
      <c r="CB14" s="283" t="s">
        <v>303</v>
      </c>
      <c r="CC14" s="283" t="s">
        <v>304</v>
      </c>
    </row>
    <row r="15" spans="1:81" s="30" customFormat="1" ht="18.75" customHeight="1" hidden="1">
      <c r="A15" s="209"/>
      <c r="B15" s="285" t="s">
        <v>305</v>
      </c>
      <c r="C15" s="286">
        <v>37963561.87</v>
      </c>
      <c r="D15" s="286">
        <v>37305421.02</v>
      </c>
      <c r="E15" s="287"/>
      <c r="J15" s="285" t="s">
        <v>305</v>
      </c>
      <c r="K15" s="286">
        <v>2219921.59</v>
      </c>
      <c r="L15" s="286">
        <v>2173552.65</v>
      </c>
      <c r="N15" s="285" t="s">
        <v>305</v>
      </c>
      <c r="O15" s="286">
        <v>4339226.29</v>
      </c>
      <c r="P15" s="286">
        <v>4338407.07</v>
      </c>
      <c r="R15" s="285" t="s">
        <v>305</v>
      </c>
      <c r="S15" s="286">
        <v>925233.44</v>
      </c>
      <c r="T15" s="286">
        <v>920257.8</v>
      </c>
      <c r="V15" s="285" t="s">
        <v>305</v>
      </c>
      <c r="W15" s="286">
        <v>2099951.73</v>
      </c>
      <c r="X15" s="286">
        <v>2063463.27</v>
      </c>
      <c r="Z15" s="285" t="s">
        <v>305</v>
      </c>
      <c r="AA15" s="286">
        <v>850365.8200000001</v>
      </c>
      <c r="AB15" s="286">
        <v>810208.2899999999</v>
      </c>
      <c r="AD15" s="285" t="s">
        <v>305</v>
      </c>
      <c r="AE15" s="286">
        <v>503730.77</v>
      </c>
      <c r="AF15" s="286">
        <v>501158.35</v>
      </c>
      <c r="AH15" s="285" t="s">
        <v>305</v>
      </c>
      <c r="AI15" s="286">
        <v>2667021.66</v>
      </c>
      <c r="AJ15" s="286">
        <v>2669015.8899999997</v>
      </c>
      <c r="AL15" s="285" t="s">
        <v>305</v>
      </c>
      <c r="AM15" s="286">
        <v>2843170.5199999996</v>
      </c>
      <c r="AN15" s="286">
        <v>2847852.7500000005</v>
      </c>
      <c r="AP15" s="285" t="s">
        <v>305</v>
      </c>
      <c r="AQ15" s="286">
        <v>4056742.5099999993</v>
      </c>
      <c r="AR15" s="286">
        <v>3957112.31</v>
      </c>
      <c r="AT15" s="285" t="s">
        <v>305</v>
      </c>
      <c r="AU15" s="286">
        <v>3062038.0799999996</v>
      </c>
      <c r="AV15" s="286">
        <v>3006906.69</v>
      </c>
      <c r="AX15" s="285" t="s">
        <v>305</v>
      </c>
      <c r="AY15" s="286">
        <v>3746879.9800000004</v>
      </c>
      <c r="AZ15" s="286">
        <v>3709071.1400000006</v>
      </c>
      <c r="BB15" s="285" t="s">
        <v>305</v>
      </c>
      <c r="BC15" s="286">
        <v>2044644.22</v>
      </c>
      <c r="BD15" s="286">
        <v>2013268.9000000001</v>
      </c>
      <c r="BF15" s="285" t="s">
        <v>305</v>
      </c>
      <c r="BG15" s="286">
        <v>1058628.8300000003</v>
      </c>
      <c r="BH15" s="286">
        <v>1049062.0699999998</v>
      </c>
      <c r="BJ15" s="285" t="s">
        <v>305</v>
      </c>
      <c r="BK15" s="286">
        <v>1588941.3499999999</v>
      </c>
      <c r="BL15" s="286">
        <v>1575272</v>
      </c>
      <c r="BN15" s="285" t="s">
        <v>305</v>
      </c>
      <c r="BO15" s="286">
        <v>2641353.28</v>
      </c>
      <c r="BP15" s="286">
        <v>2569258.69</v>
      </c>
      <c r="BR15" s="285" t="s">
        <v>305</v>
      </c>
      <c r="BS15" s="286">
        <v>2039032.7200000002</v>
      </c>
      <c r="BT15" s="286">
        <v>1954232.4499999997</v>
      </c>
      <c r="BV15" s="285" t="s">
        <v>305</v>
      </c>
      <c r="BW15" s="286">
        <v>852097.14</v>
      </c>
      <c r="BX15" s="286">
        <v>869565.6299999999</v>
      </c>
      <c r="CA15" s="285" t="s">
        <v>305</v>
      </c>
      <c r="CB15" s="286">
        <v>424581.94000000006</v>
      </c>
      <c r="CC15" s="286">
        <v>193959.97</v>
      </c>
    </row>
    <row r="16" spans="1:81" s="30" customFormat="1" ht="18.75" customHeight="1" hidden="1">
      <c r="A16" s="209"/>
      <c r="B16" s="285" t="s">
        <v>309</v>
      </c>
      <c r="C16" s="286">
        <v>12173300.210000003</v>
      </c>
      <c r="D16" s="286">
        <v>11923722.05</v>
      </c>
      <c r="E16" s="287" t="e">
        <f>#REF!+#REF!+#REF!+#REF!+#REF!+#REF!+#REF!+#REF!+#REF!+#REF!+#REF!+#REF!+#REF!+#REF!+#REF!+#REF!+#REF!+#REF!</f>
        <v>#REF!</v>
      </c>
      <c r="J16" s="285" t="s">
        <v>309</v>
      </c>
      <c r="K16" s="286">
        <v>711091.8600000001</v>
      </c>
      <c r="L16" s="286">
        <v>693638.53</v>
      </c>
      <c r="N16" s="285" t="s">
        <v>309</v>
      </c>
      <c r="O16" s="286">
        <v>1452838.7200000002</v>
      </c>
      <c r="P16" s="286">
        <v>1421897.4</v>
      </c>
      <c r="R16" s="285" t="s">
        <v>309</v>
      </c>
      <c r="S16" s="286">
        <v>275009.89</v>
      </c>
      <c r="T16" s="286">
        <v>272747.86</v>
      </c>
      <c r="V16" s="285" t="s">
        <v>309</v>
      </c>
      <c r="W16" s="286">
        <v>619277.03</v>
      </c>
      <c r="X16" s="286">
        <v>607630.3099999999</v>
      </c>
      <c r="Z16" s="285" t="s">
        <v>309</v>
      </c>
      <c r="AA16" s="286">
        <v>261609.56999999995</v>
      </c>
      <c r="AB16" s="286">
        <v>252078.14</v>
      </c>
      <c r="AD16" s="285" t="s">
        <v>309</v>
      </c>
      <c r="AE16" s="286">
        <v>158687.31999999998</v>
      </c>
      <c r="AF16" s="286">
        <v>160723.13999999998</v>
      </c>
      <c r="AH16" s="285" t="s">
        <v>309</v>
      </c>
      <c r="AI16" s="286">
        <v>894735.1800000002</v>
      </c>
      <c r="AJ16" s="286">
        <v>880257.88</v>
      </c>
      <c r="AL16" s="285" t="s">
        <v>309</v>
      </c>
      <c r="AM16" s="286">
        <v>962769.97</v>
      </c>
      <c r="AN16" s="286">
        <v>955792.1599999999</v>
      </c>
      <c r="AP16" s="285" t="s">
        <v>309</v>
      </c>
      <c r="AQ16" s="286">
        <v>1228147.9300000002</v>
      </c>
      <c r="AR16" s="286">
        <v>1205045.31</v>
      </c>
      <c r="AT16" s="285" t="s">
        <v>309</v>
      </c>
      <c r="AU16" s="286">
        <v>994697.3400000001</v>
      </c>
      <c r="AV16" s="286">
        <v>976567.88</v>
      </c>
      <c r="AX16" s="285" t="s">
        <v>309</v>
      </c>
      <c r="AY16" s="286">
        <v>1245358.3399999999</v>
      </c>
      <c r="AZ16" s="286">
        <v>1238175.85</v>
      </c>
      <c r="BB16" s="285" t="s">
        <v>309</v>
      </c>
      <c r="BC16" s="286">
        <v>610408.8999999999</v>
      </c>
      <c r="BD16" s="286">
        <v>601845.46</v>
      </c>
      <c r="BF16" s="285" t="s">
        <v>309</v>
      </c>
      <c r="BG16" s="286">
        <v>317470.5</v>
      </c>
      <c r="BH16" s="286">
        <v>322701.39</v>
      </c>
      <c r="BJ16" s="285" t="s">
        <v>309</v>
      </c>
      <c r="BK16" s="286">
        <v>477910.3</v>
      </c>
      <c r="BL16" s="286">
        <v>469177.42000000004</v>
      </c>
      <c r="BN16" s="285" t="s">
        <v>309</v>
      </c>
      <c r="BO16" s="286">
        <v>879636.4800000001</v>
      </c>
      <c r="BP16" s="286">
        <v>862718.6499999999</v>
      </c>
      <c r="BR16" s="285" t="s">
        <v>309</v>
      </c>
      <c r="BS16" s="286">
        <v>612989.57</v>
      </c>
      <c r="BT16" s="286">
        <v>591846.0399999999</v>
      </c>
      <c r="BV16" s="285" t="s">
        <v>309</v>
      </c>
      <c r="BW16" s="286">
        <v>276701.34</v>
      </c>
      <c r="BX16" s="286">
        <v>278412.7899999999</v>
      </c>
      <c r="CA16" s="285" t="s">
        <v>309</v>
      </c>
      <c r="CB16" s="286">
        <v>277755.07</v>
      </c>
      <c r="CC16" s="286">
        <v>132465.83999999997</v>
      </c>
    </row>
    <row r="17" spans="1:4" s="30" customFormat="1" ht="18.75" customHeight="1" hidden="1">
      <c r="A17" s="209"/>
      <c r="B17" s="209"/>
      <c r="C17" s="209"/>
      <c r="D17" s="209"/>
    </row>
    <row r="18" spans="1:81" ht="30.75" customHeight="1">
      <c r="A18" s="750" t="s">
        <v>6</v>
      </c>
      <c r="B18" s="753" t="s">
        <v>0</v>
      </c>
      <c r="C18" s="753" t="s">
        <v>76</v>
      </c>
      <c r="D18" s="36" t="s">
        <v>314</v>
      </c>
      <c r="E18" s="758" t="s">
        <v>393</v>
      </c>
      <c r="F18" s="758"/>
      <c r="G18" s="755" t="s">
        <v>299</v>
      </c>
      <c r="I18" s="750" t="s">
        <v>6</v>
      </c>
      <c r="J18" s="753" t="s">
        <v>0</v>
      </c>
      <c r="K18" s="753" t="s">
        <v>76</v>
      </c>
      <c r="L18" s="36" t="str">
        <f>$D$18</f>
        <v>План на 2014 год</v>
      </c>
      <c r="M18" s="750" t="s">
        <v>6</v>
      </c>
      <c r="N18" s="753" t="s">
        <v>0</v>
      </c>
      <c r="O18" s="753" t="s">
        <v>76</v>
      </c>
      <c r="P18" s="36" t="str">
        <f>$D$18</f>
        <v>План на 2014 год</v>
      </c>
      <c r="Q18" s="750" t="s">
        <v>6</v>
      </c>
      <c r="R18" s="753" t="s">
        <v>0</v>
      </c>
      <c r="S18" s="753" t="s">
        <v>76</v>
      </c>
      <c r="T18" s="36" t="str">
        <f>$D$18</f>
        <v>План на 2014 год</v>
      </c>
      <c r="U18" s="750" t="s">
        <v>6</v>
      </c>
      <c r="V18" s="753" t="s">
        <v>0</v>
      </c>
      <c r="W18" s="753" t="s">
        <v>76</v>
      </c>
      <c r="X18" s="36" t="str">
        <f>$D$18</f>
        <v>План на 2014 год</v>
      </c>
      <c r="Y18" s="750" t="s">
        <v>6</v>
      </c>
      <c r="Z18" s="753" t="s">
        <v>0</v>
      </c>
      <c r="AA18" s="753" t="s">
        <v>76</v>
      </c>
      <c r="AB18" s="210" t="str">
        <f>$D$18</f>
        <v>План на 2014 год</v>
      </c>
      <c r="AC18" s="750" t="s">
        <v>6</v>
      </c>
      <c r="AD18" s="753" t="s">
        <v>0</v>
      </c>
      <c r="AE18" s="753" t="s">
        <v>76</v>
      </c>
      <c r="AF18" s="36" t="str">
        <f>$D$18</f>
        <v>План на 2014 год</v>
      </c>
      <c r="AG18" s="750" t="s">
        <v>6</v>
      </c>
      <c r="AH18" s="753" t="s">
        <v>0</v>
      </c>
      <c r="AI18" s="753" t="s">
        <v>76</v>
      </c>
      <c r="AJ18" s="36" t="str">
        <f>$D$18</f>
        <v>План на 2014 год</v>
      </c>
      <c r="AK18" s="750" t="s">
        <v>6</v>
      </c>
      <c r="AL18" s="753" t="s">
        <v>0</v>
      </c>
      <c r="AM18" s="753" t="s">
        <v>76</v>
      </c>
      <c r="AN18" s="36" t="str">
        <f>$D$18</f>
        <v>План на 2014 год</v>
      </c>
      <c r="AO18" s="750" t="s">
        <v>6</v>
      </c>
      <c r="AP18" s="753" t="s">
        <v>0</v>
      </c>
      <c r="AQ18" s="753" t="s">
        <v>76</v>
      </c>
      <c r="AR18" s="36" t="str">
        <f>$D$18</f>
        <v>План на 2014 год</v>
      </c>
      <c r="AS18" s="750" t="s">
        <v>6</v>
      </c>
      <c r="AT18" s="753" t="s">
        <v>0</v>
      </c>
      <c r="AU18" s="753" t="s">
        <v>76</v>
      </c>
      <c r="AV18" s="210" t="str">
        <f>$D$18</f>
        <v>План на 2014 год</v>
      </c>
      <c r="AW18" s="750" t="s">
        <v>6</v>
      </c>
      <c r="AX18" s="753" t="s">
        <v>0</v>
      </c>
      <c r="AY18" s="753" t="s">
        <v>76</v>
      </c>
      <c r="AZ18" s="36" t="str">
        <f>$D$18</f>
        <v>План на 2014 год</v>
      </c>
      <c r="BA18" s="750" t="s">
        <v>6</v>
      </c>
      <c r="BB18" s="753" t="s">
        <v>0</v>
      </c>
      <c r="BC18" s="753" t="s">
        <v>76</v>
      </c>
      <c r="BD18" s="36" t="str">
        <f>$D$18</f>
        <v>План на 2014 год</v>
      </c>
      <c r="BE18" s="750" t="s">
        <v>6</v>
      </c>
      <c r="BF18" s="753" t="s">
        <v>0</v>
      </c>
      <c r="BG18" s="753" t="s">
        <v>76</v>
      </c>
      <c r="BH18" s="36" t="str">
        <f>$D$18</f>
        <v>План на 2014 год</v>
      </c>
      <c r="BI18" s="750" t="s">
        <v>6</v>
      </c>
      <c r="BJ18" s="753" t="s">
        <v>0</v>
      </c>
      <c r="BK18" s="753" t="s">
        <v>76</v>
      </c>
      <c r="BL18" s="36" t="str">
        <f>$D$18</f>
        <v>План на 2014 год</v>
      </c>
      <c r="BM18" s="750" t="s">
        <v>6</v>
      </c>
      <c r="BN18" s="753" t="s">
        <v>0</v>
      </c>
      <c r="BO18" s="753" t="s">
        <v>76</v>
      </c>
      <c r="BP18" s="36" t="str">
        <f>$D$18</f>
        <v>План на 2014 год</v>
      </c>
      <c r="BQ18" s="750" t="s">
        <v>6</v>
      </c>
      <c r="BR18" s="753" t="s">
        <v>0</v>
      </c>
      <c r="BS18" s="753" t="s">
        <v>76</v>
      </c>
      <c r="BT18" s="36" t="str">
        <f>$D$18</f>
        <v>План на 2014 год</v>
      </c>
      <c r="BU18" s="750" t="s">
        <v>6</v>
      </c>
      <c r="BV18" s="753" t="s">
        <v>0</v>
      </c>
      <c r="BW18" s="753" t="s">
        <v>76</v>
      </c>
      <c r="BX18" s="36" t="str">
        <f>$D$18</f>
        <v>План на 2014 год</v>
      </c>
      <c r="BY18" s="755" t="s">
        <v>299</v>
      </c>
      <c r="BZ18" s="750" t="s">
        <v>6</v>
      </c>
      <c r="CA18" s="753" t="s">
        <v>0</v>
      </c>
      <c r="CB18" s="753" t="s">
        <v>76</v>
      </c>
      <c r="CC18" s="36" t="str">
        <f>$D$18</f>
        <v>План на 2014 год</v>
      </c>
    </row>
    <row r="19" spans="1:81" ht="15" customHeight="1">
      <c r="A19" s="751"/>
      <c r="B19" s="753"/>
      <c r="C19" s="753"/>
      <c r="D19" s="754" t="s">
        <v>7</v>
      </c>
      <c r="E19" s="745" t="s">
        <v>7</v>
      </c>
      <c r="F19" s="759" t="s">
        <v>307</v>
      </c>
      <c r="G19" s="756"/>
      <c r="I19" s="751"/>
      <c r="J19" s="753"/>
      <c r="K19" s="753"/>
      <c r="L19" s="754" t="s">
        <v>7</v>
      </c>
      <c r="M19" s="751"/>
      <c r="N19" s="753"/>
      <c r="O19" s="753"/>
      <c r="P19" s="754" t="s">
        <v>7</v>
      </c>
      <c r="Q19" s="751"/>
      <c r="R19" s="753"/>
      <c r="S19" s="753"/>
      <c r="T19" s="754" t="s">
        <v>7</v>
      </c>
      <c r="U19" s="751"/>
      <c r="V19" s="753"/>
      <c r="W19" s="753"/>
      <c r="X19" s="754" t="s">
        <v>7</v>
      </c>
      <c r="Y19" s="751"/>
      <c r="Z19" s="753"/>
      <c r="AA19" s="753"/>
      <c r="AB19" s="754" t="s">
        <v>7</v>
      </c>
      <c r="AC19" s="751"/>
      <c r="AD19" s="753"/>
      <c r="AE19" s="753"/>
      <c r="AF19" s="754" t="s">
        <v>7</v>
      </c>
      <c r="AG19" s="751"/>
      <c r="AH19" s="753"/>
      <c r="AI19" s="753"/>
      <c r="AJ19" s="754" t="s">
        <v>7</v>
      </c>
      <c r="AK19" s="751"/>
      <c r="AL19" s="753"/>
      <c r="AM19" s="753"/>
      <c r="AN19" s="754" t="s">
        <v>7</v>
      </c>
      <c r="AO19" s="751"/>
      <c r="AP19" s="753"/>
      <c r="AQ19" s="753"/>
      <c r="AR19" s="754" t="s">
        <v>7</v>
      </c>
      <c r="AS19" s="751"/>
      <c r="AT19" s="753"/>
      <c r="AU19" s="753"/>
      <c r="AV19" s="754" t="s">
        <v>7</v>
      </c>
      <c r="AW19" s="751"/>
      <c r="AX19" s="753"/>
      <c r="AY19" s="753"/>
      <c r="AZ19" s="754" t="s">
        <v>7</v>
      </c>
      <c r="BA19" s="751"/>
      <c r="BB19" s="753"/>
      <c r="BC19" s="753"/>
      <c r="BD19" s="754" t="s">
        <v>7</v>
      </c>
      <c r="BE19" s="751"/>
      <c r="BF19" s="753"/>
      <c r="BG19" s="753"/>
      <c r="BH19" s="754" t="s">
        <v>7</v>
      </c>
      <c r="BI19" s="751"/>
      <c r="BJ19" s="753"/>
      <c r="BK19" s="753"/>
      <c r="BL19" s="754" t="s">
        <v>7</v>
      </c>
      <c r="BM19" s="751"/>
      <c r="BN19" s="753"/>
      <c r="BO19" s="753"/>
      <c r="BP19" s="754" t="s">
        <v>7</v>
      </c>
      <c r="BQ19" s="751"/>
      <c r="BR19" s="753"/>
      <c r="BS19" s="753"/>
      <c r="BT19" s="754" t="s">
        <v>7</v>
      </c>
      <c r="BU19" s="751"/>
      <c r="BV19" s="753"/>
      <c r="BW19" s="753"/>
      <c r="BX19" s="754" t="s">
        <v>7</v>
      </c>
      <c r="BY19" s="756"/>
      <c r="BZ19" s="751"/>
      <c r="CA19" s="753"/>
      <c r="CB19" s="753"/>
      <c r="CC19" s="754" t="s">
        <v>7</v>
      </c>
    </row>
    <row r="20" spans="1:81" ht="12.75" customHeight="1">
      <c r="A20" s="752"/>
      <c r="B20" s="753"/>
      <c r="C20" s="753"/>
      <c r="D20" s="754"/>
      <c r="E20" s="745"/>
      <c r="F20" s="760"/>
      <c r="G20" s="757"/>
      <c r="I20" s="752"/>
      <c r="J20" s="753"/>
      <c r="K20" s="753"/>
      <c r="L20" s="754"/>
      <c r="M20" s="752"/>
      <c r="N20" s="753"/>
      <c r="O20" s="753"/>
      <c r="P20" s="754"/>
      <c r="Q20" s="752"/>
      <c r="R20" s="753"/>
      <c r="S20" s="753"/>
      <c r="T20" s="754"/>
      <c r="U20" s="752"/>
      <c r="V20" s="753"/>
      <c r="W20" s="753"/>
      <c r="X20" s="754"/>
      <c r="Y20" s="752"/>
      <c r="Z20" s="753"/>
      <c r="AA20" s="753"/>
      <c r="AB20" s="754"/>
      <c r="AC20" s="752"/>
      <c r="AD20" s="753"/>
      <c r="AE20" s="753"/>
      <c r="AF20" s="754"/>
      <c r="AG20" s="752"/>
      <c r="AH20" s="753"/>
      <c r="AI20" s="753"/>
      <c r="AJ20" s="754"/>
      <c r="AK20" s="752"/>
      <c r="AL20" s="753"/>
      <c r="AM20" s="753"/>
      <c r="AN20" s="754"/>
      <c r="AO20" s="752"/>
      <c r="AP20" s="753"/>
      <c r="AQ20" s="753"/>
      <c r="AR20" s="754"/>
      <c r="AS20" s="752"/>
      <c r="AT20" s="753"/>
      <c r="AU20" s="753"/>
      <c r="AV20" s="754"/>
      <c r="AW20" s="752"/>
      <c r="AX20" s="753"/>
      <c r="AY20" s="753"/>
      <c r="AZ20" s="754"/>
      <c r="BA20" s="752"/>
      <c r="BB20" s="753"/>
      <c r="BC20" s="753"/>
      <c r="BD20" s="754"/>
      <c r="BE20" s="752"/>
      <c r="BF20" s="753"/>
      <c r="BG20" s="753"/>
      <c r="BH20" s="754"/>
      <c r="BI20" s="752"/>
      <c r="BJ20" s="753"/>
      <c r="BK20" s="753"/>
      <c r="BL20" s="754"/>
      <c r="BM20" s="752"/>
      <c r="BN20" s="753"/>
      <c r="BO20" s="753"/>
      <c r="BP20" s="754"/>
      <c r="BQ20" s="752"/>
      <c r="BR20" s="753"/>
      <c r="BS20" s="753"/>
      <c r="BT20" s="754"/>
      <c r="BU20" s="752"/>
      <c r="BV20" s="753"/>
      <c r="BW20" s="753"/>
      <c r="BX20" s="754"/>
      <c r="BY20" s="757"/>
      <c r="BZ20" s="752"/>
      <c r="CA20" s="753"/>
      <c r="CB20" s="753"/>
      <c r="CC20" s="754"/>
    </row>
    <row r="21" spans="1:81" ht="15">
      <c r="A21" s="20"/>
      <c r="B21" s="3" t="s">
        <v>9</v>
      </c>
      <c r="C21" s="11" t="s">
        <v>11</v>
      </c>
      <c r="D21" s="52">
        <f>L21+P21+T21+X21+AB21+AF21+AJ21+AN21+AR21+AV21+AZ21+BD21+BH21+BL21+BP21+BT21+BX21+CC21</f>
        <v>18</v>
      </c>
      <c r="E21" s="246"/>
      <c r="F21" s="246"/>
      <c r="G21" s="246"/>
      <c r="I21" s="20"/>
      <c r="J21" s="3" t="s">
        <v>9</v>
      </c>
      <c r="K21" s="2" t="s">
        <v>11</v>
      </c>
      <c r="L21" s="4">
        <v>1</v>
      </c>
      <c r="M21" s="20"/>
      <c r="N21" s="3" t="s">
        <v>9</v>
      </c>
      <c r="O21" s="2" t="s">
        <v>11</v>
      </c>
      <c r="P21" s="4">
        <v>1</v>
      </c>
      <c r="Q21" s="20"/>
      <c r="R21" s="3" t="s">
        <v>9</v>
      </c>
      <c r="S21" s="2" t="s">
        <v>11</v>
      </c>
      <c r="T21" s="4">
        <v>1</v>
      </c>
      <c r="U21" s="20"/>
      <c r="V21" s="3" t="s">
        <v>9</v>
      </c>
      <c r="W21" s="2" t="s">
        <v>11</v>
      </c>
      <c r="X21" s="4">
        <v>1</v>
      </c>
      <c r="Y21" s="20"/>
      <c r="Z21" s="3" t="s">
        <v>9</v>
      </c>
      <c r="AA21" s="2" t="s">
        <v>11</v>
      </c>
      <c r="AB21" s="4">
        <v>1</v>
      </c>
      <c r="AC21" s="20"/>
      <c r="AD21" s="3" t="s">
        <v>9</v>
      </c>
      <c r="AE21" s="2" t="s">
        <v>11</v>
      </c>
      <c r="AF21" s="4">
        <v>1</v>
      </c>
      <c r="AG21" s="20"/>
      <c r="AH21" s="3" t="s">
        <v>9</v>
      </c>
      <c r="AI21" s="2" t="s">
        <v>11</v>
      </c>
      <c r="AJ21" s="4">
        <v>1</v>
      </c>
      <c r="AK21" s="20"/>
      <c r="AL21" s="3" t="s">
        <v>9</v>
      </c>
      <c r="AM21" s="2" t="s">
        <v>11</v>
      </c>
      <c r="AN21" s="4">
        <v>1</v>
      </c>
      <c r="AO21" s="20"/>
      <c r="AP21" s="3" t="s">
        <v>9</v>
      </c>
      <c r="AQ21" s="2" t="s">
        <v>11</v>
      </c>
      <c r="AR21" s="4">
        <v>1</v>
      </c>
      <c r="AS21" s="20"/>
      <c r="AT21" s="3" t="s">
        <v>9</v>
      </c>
      <c r="AU21" s="2" t="s">
        <v>11</v>
      </c>
      <c r="AV21" s="4">
        <v>1</v>
      </c>
      <c r="AW21" s="20"/>
      <c r="AX21" s="3" t="s">
        <v>9</v>
      </c>
      <c r="AY21" s="2" t="s">
        <v>11</v>
      </c>
      <c r="AZ21" s="4">
        <v>1</v>
      </c>
      <c r="BA21" s="20"/>
      <c r="BB21" s="3" t="s">
        <v>9</v>
      </c>
      <c r="BC21" s="2" t="s">
        <v>11</v>
      </c>
      <c r="BD21" s="4">
        <v>1</v>
      </c>
      <c r="BE21" s="20"/>
      <c r="BF21" s="3" t="s">
        <v>9</v>
      </c>
      <c r="BG21" s="2" t="s">
        <v>11</v>
      </c>
      <c r="BH21" s="4">
        <v>1</v>
      </c>
      <c r="BI21" s="20"/>
      <c r="BJ21" s="3" t="s">
        <v>9</v>
      </c>
      <c r="BK21" s="2" t="s">
        <v>11</v>
      </c>
      <c r="BL21" s="4">
        <v>1</v>
      </c>
      <c r="BM21" s="20"/>
      <c r="BN21" s="3" t="s">
        <v>9</v>
      </c>
      <c r="BO21" s="2" t="s">
        <v>11</v>
      </c>
      <c r="BP21" s="4">
        <v>1</v>
      </c>
      <c r="BQ21" s="20"/>
      <c r="BR21" s="3" t="s">
        <v>9</v>
      </c>
      <c r="BS21" s="2" t="s">
        <v>11</v>
      </c>
      <c r="BT21" s="4">
        <v>1</v>
      </c>
      <c r="BU21" s="20"/>
      <c r="BV21" s="3" t="s">
        <v>9</v>
      </c>
      <c r="BW21" s="2" t="s">
        <v>11</v>
      </c>
      <c r="BX21" s="4">
        <v>1</v>
      </c>
      <c r="BY21" s="246"/>
      <c r="BZ21" s="20"/>
      <c r="CA21" s="3" t="s">
        <v>9</v>
      </c>
      <c r="CB21" s="2" t="s">
        <v>11</v>
      </c>
      <c r="CC21" s="4">
        <v>1</v>
      </c>
    </row>
    <row r="22" spans="1:81" ht="15">
      <c r="A22" s="20"/>
      <c r="B22" s="3" t="s">
        <v>12</v>
      </c>
      <c r="C22" s="11" t="s">
        <v>13</v>
      </c>
      <c r="D22" s="60">
        <f>L22+P22+T22+X22+AB22+AF22+AJ22+AN22+AR22+AV22+AZ22+BD22+BH22+BL22+BP22+BT22+BX22+CC22</f>
        <v>203.7457</v>
      </c>
      <c r="E22" s="246"/>
      <c r="F22" s="246"/>
      <c r="G22" s="246"/>
      <c r="I22" s="20"/>
      <c r="J22" s="3" t="s">
        <v>12</v>
      </c>
      <c r="K22" s="2" t="s">
        <v>13</v>
      </c>
      <c r="L22" s="23">
        <v>11.9345</v>
      </c>
      <c r="M22" s="20"/>
      <c r="N22" s="3" t="s">
        <v>12</v>
      </c>
      <c r="O22" s="2" t="s">
        <v>13</v>
      </c>
      <c r="P22" s="23">
        <v>24.3753</v>
      </c>
      <c r="Q22" s="20"/>
      <c r="R22" s="3" t="s">
        <v>12</v>
      </c>
      <c r="S22" s="2" t="s">
        <v>13</v>
      </c>
      <c r="T22" s="23">
        <v>4.584</v>
      </c>
      <c r="U22" s="20"/>
      <c r="V22" s="3" t="s">
        <v>12</v>
      </c>
      <c r="W22" s="2" t="s">
        <v>13</v>
      </c>
      <c r="X22" s="23">
        <v>10.3804</v>
      </c>
      <c r="Y22" s="20"/>
      <c r="Z22" s="3" t="s">
        <v>12</v>
      </c>
      <c r="AA22" s="2" t="s">
        <v>13</v>
      </c>
      <c r="AB22" s="23">
        <v>4.4764</v>
      </c>
      <c r="AC22" s="20"/>
      <c r="AD22" s="3" t="s">
        <v>12</v>
      </c>
      <c r="AE22" s="2" t="s">
        <v>13</v>
      </c>
      <c r="AF22" s="23">
        <v>2.6186</v>
      </c>
      <c r="AG22" s="20"/>
      <c r="AH22" s="3" t="s">
        <v>12</v>
      </c>
      <c r="AI22" s="2" t="s">
        <v>13</v>
      </c>
      <c r="AJ22" s="23">
        <v>14.7656</v>
      </c>
      <c r="AK22" s="20"/>
      <c r="AL22" s="3" t="s">
        <v>12</v>
      </c>
      <c r="AM22" s="2" t="s">
        <v>13</v>
      </c>
      <c r="AN22" s="23">
        <v>16.043</v>
      </c>
      <c r="AO22" s="20"/>
      <c r="AP22" s="3" t="s">
        <v>12</v>
      </c>
      <c r="AQ22" s="2" t="s">
        <v>13</v>
      </c>
      <c r="AR22" s="23">
        <v>20.5986</v>
      </c>
      <c r="AS22" s="20"/>
      <c r="AT22" s="3" t="s">
        <v>12</v>
      </c>
      <c r="AU22" s="2" t="s">
        <v>13</v>
      </c>
      <c r="AV22" s="23">
        <v>16.4865</v>
      </c>
      <c r="AW22" s="20"/>
      <c r="AX22" s="3" t="s">
        <v>12</v>
      </c>
      <c r="AY22" s="2" t="s">
        <v>13</v>
      </c>
      <c r="AZ22" s="23">
        <v>20.925</v>
      </c>
      <c r="BA22" s="20"/>
      <c r="BB22" s="3" t="s">
        <v>12</v>
      </c>
      <c r="BC22" s="2" t="s">
        <v>13</v>
      </c>
      <c r="BD22" s="23">
        <v>10.2618</v>
      </c>
      <c r="BE22" s="20"/>
      <c r="BF22" s="3" t="s">
        <v>12</v>
      </c>
      <c r="BG22" s="2" t="s">
        <v>13</v>
      </c>
      <c r="BH22" s="23">
        <v>5.242</v>
      </c>
      <c r="BI22" s="20"/>
      <c r="BJ22" s="3" t="s">
        <v>12</v>
      </c>
      <c r="BK22" s="2" t="s">
        <v>13</v>
      </c>
      <c r="BL22" s="23">
        <v>8.0144</v>
      </c>
      <c r="BM22" s="20"/>
      <c r="BN22" s="3" t="s">
        <v>12</v>
      </c>
      <c r="BO22" s="2" t="s">
        <v>13</v>
      </c>
      <c r="BP22" s="23">
        <v>14.793</v>
      </c>
      <c r="BQ22" s="20"/>
      <c r="BR22" s="3" t="s">
        <v>12</v>
      </c>
      <c r="BS22" s="2" t="s">
        <v>13</v>
      </c>
      <c r="BT22" s="149">
        <v>10.254</v>
      </c>
      <c r="BU22" s="20"/>
      <c r="BV22" s="3" t="s">
        <v>12</v>
      </c>
      <c r="BW22" s="2" t="s">
        <v>13</v>
      </c>
      <c r="BX22" s="25">
        <v>4.5526</v>
      </c>
      <c r="BY22" s="246"/>
      <c r="BZ22" s="20"/>
      <c r="CA22" s="3" t="s">
        <v>12</v>
      </c>
      <c r="CB22" s="2" t="s">
        <v>13</v>
      </c>
      <c r="CC22" s="25">
        <v>3.44</v>
      </c>
    </row>
    <row r="23" spans="1:81" ht="15">
      <c r="A23" s="20"/>
      <c r="B23" s="5" t="s">
        <v>14</v>
      </c>
      <c r="C23" s="11" t="s">
        <v>15</v>
      </c>
      <c r="D23" s="52">
        <f>L23+P23+T23+X23+AB23+AF23+AJ23+AN23+AR23+AV23+AZ23+BD23+BH23+BL23+BP23+BT23+BX23+CC23</f>
        <v>3834</v>
      </c>
      <c r="E23" s="246"/>
      <c r="F23" s="246"/>
      <c r="G23" s="246"/>
      <c r="I23" s="20"/>
      <c r="J23" s="5" t="s">
        <v>14</v>
      </c>
      <c r="K23" s="2" t="s">
        <v>15</v>
      </c>
      <c r="L23" s="24">
        <v>216</v>
      </c>
      <c r="M23" s="20"/>
      <c r="N23" s="5" t="s">
        <v>14</v>
      </c>
      <c r="O23" s="2" t="s">
        <v>15</v>
      </c>
      <c r="P23" s="24">
        <v>407</v>
      </c>
      <c r="Q23" s="20"/>
      <c r="R23" s="5" t="s">
        <v>14</v>
      </c>
      <c r="S23" s="2" t="s">
        <v>15</v>
      </c>
      <c r="T23" s="24">
        <v>94</v>
      </c>
      <c r="U23" s="20"/>
      <c r="V23" s="5" t="s">
        <v>14</v>
      </c>
      <c r="W23" s="2" t="s">
        <v>15</v>
      </c>
      <c r="X23" s="24">
        <v>223</v>
      </c>
      <c r="Y23" s="20"/>
      <c r="Z23" s="5" t="s">
        <v>14</v>
      </c>
      <c r="AA23" s="2" t="s">
        <v>15</v>
      </c>
      <c r="AB23" s="24">
        <v>89</v>
      </c>
      <c r="AC23" s="20"/>
      <c r="AD23" s="5" t="s">
        <v>14</v>
      </c>
      <c r="AE23" s="2" t="s">
        <v>15</v>
      </c>
      <c r="AF23" s="24">
        <v>50</v>
      </c>
      <c r="AG23" s="20"/>
      <c r="AH23" s="5" t="s">
        <v>14</v>
      </c>
      <c r="AI23" s="2" t="s">
        <v>15</v>
      </c>
      <c r="AJ23" s="24">
        <v>251</v>
      </c>
      <c r="AK23" s="20"/>
      <c r="AL23" s="5" t="s">
        <v>14</v>
      </c>
      <c r="AM23" s="2" t="s">
        <v>15</v>
      </c>
      <c r="AN23" s="24">
        <v>278</v>
      </c>
      <c r="AO23" s="20"/>
      <c r="AP23" s="5" t="s">
        <v>14</v>
      </c>
      <c r="AQ23" s="2" t="s">
        <v>15</v>
      </c>
      <c r="AR23" s="24">
        <v>444</v>
      </c>
      <c r="AS23" s="20"/>
      <c r="AT23" s="5" t="s">
        <v>14</v>
      </c>
      <c r="AU23" s="2" t="s">
        <v>15</v>
      </c>
      <c r="AV23" s="24">
        <v>285</v>
      </c>
      <c r="AW23" s="20"/>
      <c r="AX23" s="5" t="s">
        <v>14</v>
      </c>
      <c r="AY23" s="2" t="s">
        <v>15</v>
      </c>
      <c r="AZ23" s="24">
        <v>351</v>
      </c>
      <c r="BA23" s="20"/>
      <c r="BB23" s="5" t="s">
        <v>14</v>
      </c>
      <c r="BC23" s="2" t="s">
        <v>15</v>
      </c>
      <c r="BD23" s="24">
        <v>221</v>
      </c>
      <c r="BE23" s="20"/>
      <c r="BF23" s="5" t="s">
        <v>14</v>
      </c>
      <c r="BG23" s="2" t="s">
        <v>15</v>
      </c>
      <c r="BH23" s="24">
        <v>109</v>
      </c>
      <c r="BI23" s="20"/>
      <c r="BJ23" s="5" t="s">
        <v>14</v>
      </c>
      <c r="BK23" s="2" t="s">
        <v>15</v>
      </c>
      <c r="BL23" s="24">
        <v>173</v>
      </c>
      <c r="BM23" s="20"/>
      <c r="BN23" s="5" t="s">
        <v>14</v>
      </c>
      <c r="BO23" s="2" t="s">
        <v>15</v>
      </c>
      <c r="BP23" s="24">
        <v>252</v>
      </c>
      <c r="BQ23" s="20"/>
      <c r="BR23" s="5" t="s">
        <v>14</v>
      </c>
      <c r="BS23" s="2" t="s">
        <v>15</v>
      </c>
      <c r="BT23" s="150">
        <v>221</v>
      </c>
      <c r="BU23" s="20"/>
      <c r="BV23" s="5" t="s">
        <v>14</v>
      </c>
      <c r="BW23" s="2" t="s">
        <v>15</v>
      </c>
      <c r="BX23" s="26">
        <v>94</v>
      </c>
      <c r="BY23" s="246"/>
      <c r="BZ23" s="20"/>
      <c r="CA23" s="5" t="s">
        <v>14</v>
      </c>
      <c r="CB23" s="2" t="s">
        <v>15</v>
      </c>
      <c r="CC23" s="26">
        <v>76</v>
      </c>
    </row>
    <row r="24" spans="1:81" ht="15.75">
      <c r="A24" s="20"/>
      <c r="B24" s="56" t="s">
        <v>334</v>
      </c>
      <c r="C24" s="57" t="s">
        <v>17</v>
      </c>
      <c r="D24" s="58"/>
      <c r="E24" s="246"/>
      <c r="F24" s="246"/>
      <c r="G24" s="246"/>
      <c r="I24" s="20"/>
      <c r="J24" s="7" t="s">
        <v>16</v>
      </c>
      <c r="K24" s="2" t="s">
        <v>17</v>
      </c>
      <c r="L24" s="248"/>
      <c r="M24" s="20"/>
      <c r="N24" s="7" t="s">
        <v>16</v>
      </c>
      <c r="O24" s="2" t="s">
        <v>17</v>
      </c>
      <c r="P24" s="248"/>
      <c r="Q24" s="20"/>
      <c r="R24" s="7" t="s">
        <v>16</v>
      </c>
      <c r="S24" s="2" t="s">
        <v>17</v>
      </c>
      <c r="T24" s="6"/>
      <c r="U24" s="20"/>
      <c r="V24" s="7" t="s">
        <v>16</v>
      </c>
      <c r="W24" s="2" t="s">
        <v>17</v>
      </c>
      <c r="X24" s="6"/>
      <c r="Y24" s="20"/>
      <c r="Z24" s="7" t="s">
        <v>16</v>
      </c>
      <c r="AA24" s="2" t="s">
        <v>17</v>
      </c>
      <c r="AB24" s="6"/>
      <c r="AC24" s="20"/>
      <c r="AD24" s="7" t="s">
        <v>16</v>
      </c>
      <c r="AE24" s="2" t="s">
        <v>17</v>
      </c>
      <c r="AF24" s="6"/>
      <c r="AG24" s="20"/>
      <c r="AH24" s="7" t="s">
        <v>16</v>
      </c>
      <c r="AI24" s="2" t="s">
        <v>17</v>
      </c>
      <c r="AJ24" s="6"/>
      <c r="AK24" s="20"/>
      <c r="AL24" s="7" t="s">
        <v>16</v>
      </c>
      <c r="AM24" s="2" t="s">
        <v>17</v>
      </c>
      <c r="AN24" s="6"/>
      <c r="AO24" s="20"/>
      <c r="AP24" s="7" t="s">
        <v>16</v>
      </c>
      <c r="AQ24" s="2" t="s">
        <v>17</v>
      </c>
      <c r="AR24" s="6"/>
      <c r="AS24" s="20"/>
      <c r="AT24" s="7" t="s">
        <v>16</v>
      </c>
      <c r="AU24" s="2" t="s">
        <v>17</v>
      </c>
      <c r="AV24" s="6"/>
      <c r="AW24" s="20"/>
      <c r="AX24" s="7" t="s">
        <v>16</v>
      </c>
      <c r="AY24" s="2" t="s">
        <v>17</v>
      </c>
      <c r="AZ24" s="6"/>
      <c r="BA24" s="20"/>
      <c r="BB24" s="7" t="s">
        <v>16</v>
      </c>
      <c r="BC24" s="2" t="s">
        <v>17</v>
      </c>
      <c r="BD24" s="6"/>
      <c r="BE24" s="20"/>
      <c r="BF24" s="7" t="s">
        <v>16</v>
      </c>
      <c r="BG24" s="2" t="s">
        <v>17</v>
      </c>
      <c r="BH24" s="6"/>
      <c r="BI24" s="20"/>
      <c r="BJ24" s="7" t="s">
        <v>16</v>
      </c>
      <c r="BK24" s="2" t="s">
        <v>17</v>
      </c>
      <c r="BL24" s="6"/>
      <c r="BM24" s="20"/>
      <c r="BN24" s="7" t="s">
        <v>16</v>
      </c>
      <c r="BO24" s="2" t="s">
        <v>17</v>
      </c>
      <c r="BP24" s="6"/>
      <c r="BQ24" s="20"/>
      <c r="BR24" s="7" t="s">
        <v>16</v>
      </c>
      <c r="BS24" s="2" t="s">
        <v>17</v>
      </c>
      <c r="BT24" s="6"/>
      <c r="BU24" s="20"/>
      <c r="BV24" s="7" t="s">
        <v>16</v>
      </c>
      <c r="BW24" s="2" t="s">
        <v>17</v>
      </c>
      <c r="BX24" s="6"/>
      <c r="BY24" s="246"/>
      <c r="BZ24" s="20"/>
      <c r="CA24" s="7" t="s">
        <v>16</v>
      </c>
      <c r="CB24" s="2" t="s">
        <v>17</v>
      </c>
      <c r="CC24" s="6"/>
    </row>
    <row r="25" spans="1:81" ht="15">
      <c r="A25" s="20"/>
      <c r="B25" s="7" t="s">
        <v>18</v>
      </c>
      <c r="C25" s="11" t="s">
        <v>17</v>
      </c>
      <c r="D25" s="50"/>
      <c r="E25" s="246"/>
      <c r="F25" s="246"/>
      <c r="G25" s="246"/>
      <c r="I25" s="20"/>
      <c r="J25" s="7" t="s">
        <v>18</v>
      </c>
      <c r="K25" s="11" t="s">
        <v>17</v>
      </c>
      <c r="L25" s="249"/>
      <c r="M25" s="20"/>
      <c r="N25" s="7" t="s">
        <v>18</v>
      </c>
      <c r="O25" s="11" t="s">
        <v>17</v>
      </c>
      <c r="P25" s="249"/>
      <c r="Q25" s="20"/>
      <c r="R25" s="7" t="s">
        <v>18</v>
      </c>
      <c r="S25" s="11" t="s">
        <v>17</v>
      </c>
      <c r="T25" s="9"/>
      <c r="U25" s="20"/>
      <c r="V25" s="7" t="s">
        <v>18</v>
      </c>
      <c r="W25" s="11" t="s">
        <v>17</v>
      </c>
      <c r="X25" s="9"/>
      <c r="Y25" s="20"/>
      <c r="Z25" s="7" t="s">
        <v>18</v>
      </c>
      <c r="AA25" s="11" t="s">
        <v>17</v>
      </c>
      <c r="AB25" s="9"/>
      <c r="AC25" s="20"/>
      <c r="AD25" s="7" t="s">
        <v>18</v>
      </c>
      <c r="AE25" s="11" t="s">
        <v>17</v>
      </c>
      <c r="AF25" s="9"/>
      <c r="AG25" s="20"/>
      <c r="AH25" s="7" t="s">
        <v>18</v>
      </c>
      <c r="AI25" s="11" t="s">
        <v>17</v>
      </c>
      <c r="AJ25" s="9"/>
      <c r="AK25" s="20"/>
      <c r="AL25" s="7" t="s">
        <v>18</v>
      </c>
      <c r="AM25" s="11" t="s">
        <v>17</v>
      </c>
      <c r="AN25" s="9"/>
      <c r="AO25" s="20"/>
      <c r="AP25" s="7" t="s">
        <v>18</v>
      </c>
      <c r="AQ25" s="11" t="s">
        <v>17</v>
      </c>
      <c r="AR25" s="9"/>
      <c r="AS25" s="20"/>
      <c r="AT25" s="7" t="s">
        <v>18</v>
      </c>
      <c r="AU25" s="11" t="s">
        <v>17</v>
      </c>
      <c r="AV25" s="9"/>
      <c r="AW25" s="20"/>
      <c r="AX25" s="7" t="s">
        <v>18</v>
      </c>
      <c r="AY25" s="11" t="s">
        <v>17</v>
      </c>
      <c r="AZ25" s="9"/>
      <c r="BA25" s="20"/>
      <c r="BB25" s="7" t="s">
        <v>18</v>
      </c>
      <c r="BC25" s="11" t="s">
        <v>17</v>
      </c>
      <c r="BD25" s="9"/>
      <c r="BE25" s="20"/>
      <c r="BF25" s="7" t="s">
        <v>18</v>
      </c>
      <c r="BG25" s="11" t="s">
        <v>17</v>
      </c>
      <c r="BH25" s="9"/>
      <c r="BI25" s="20"/>
      <c r="BJ25" s="7" t="s">
        <v>18</v>
      </c>
      <c r="BK25" s="11" t="s">
        <v>17</v>
      </c>
      <c r="BL25" s="9"/>
      <c r="BM25" s="20"/>
      <c r="BN25" s="7" t="s">
        <v>18</v>
      </c>
      <c r="BO25" s="11" t="s">
        <v>17</v>
      </c>
      <c r="BP25" s="9"/>
      <c r="BQ25" s="20"/>
      <c r="BR25" s="7" t="s">
        <v>18</v>
      </c>
      <c r="BS25" s="11" t="s">
        <v>17</v>
      </c>
      <c r="BT25" s="9"/>
      <c r="BU25" s="20"/>
      <c r="BV25" s="7" t="s">
        <v>18</v>
      </c>
      <c r="BW25" s="11" t="s">
        <v>17</v>
      </c>
      <c r="BX25" s="9"/>
      <c r="BY25" s="246"/>
      <c r="BZ25" s="20"/>
      <c r="CA25" s="7" t="s">
        <v>18</v>
      </c>
      <c r="CB25" s="11" t="s">
        <v>17</v>
      </c>
      <c r="CC25" s="9"/>
    </row>
    <row r="26" spans="1:81" ht="15.75">
      <c r="A26" s="20"/>
      <c r="B26" s="84" t="s">
        <v>19</v>
      </c>
      <c r="C26" s="8"/>
      <c r="D26" s="158"/>
      <c r="E26" s="246"/>
      <c r="F26" s="246"/>
      <c r="G26" s="246"/>
      <c r="I26" s="20"/>
      <c r="J26" s="3" t="s">
        <v>19</v>
      </c>
      <c r="K26" s="8"/>
      <c r="L26" s="158"/>
      <c r="M26" s="20"/>
      <c r="N26" s="3" t="s">
        <v>19</v>
      </c>
      <c r="O26" s="8"/>
      <c r="P26" s="158"/>
      <c r="Q26" s="20"/>
      <c r="R26" s="3" t="s">
        <v>19</v>
      </c>
      <c r="S26" s="8"/>
      <c r="T26" s="1"/>
      <c r="U26" s="20"/>
      <c r="V26" s="3" t="s">
        <v>19</v>
      </c>
      <c r="W26" s="8"/>
      <c r="X26" s="1"/>
      <c r="Y26" s="20"/>
      <c r="Z26" s="3" t="s">
        <v>19</v>
      </c>
      <c r="AA26" s="8"/>
      <c r="AB26" s="1"/>
      <c r="AC26" s="20"/>
      <c r="AD26" s="3" t="s">
        <v>19</v>
      </c>
      <c r="AE26" s="8"/>
      <c r="AF26" s="1"/>
      <c r="AG26" s="20"/>
      <c r="AH26" s="3" t="s">
        <v>19</v>
      </c>
      <c r="AI26" s="8"/>
      <c r="AJ26" s="1"/>
      <c r="AK26" s="20"/>
      <c r="AL26" s="3" t="s">
        <v>19</v>
      </c>
      <c r="AM26" s="8"/>
      <c r="AN26" s="1"/>
      <c r="AO26" s="20"/>
      <c r="AP26" s="3" t="s">
        <v>19</v>
      </c>
      <c r="AQ26" s="8"/>
      <c r="AR26" s="1"/>
      <c r="AS26" s="20"/>
      <c r="AT26" s="3" t="s">
        <v>19</v>
      </c>
      <c r="AU26" s="8"/>
      <c r="AV26" s="1"/>
      <c r="AW26" s="20"/>
      <c r="AX26" s="3" t="s">
        <v>19</v>
      </c>
      <c r="AY26" s="8"/>
      <c r="AZ26" s="1"/>
      <c r="BA26" s="20"/>
      <c r="BB26" s="3" t="s">
        <v>19</v>
      </c>
      <c r="BC26" s="8"/>
      <c r="BD26" s="1"/>
      <c r="BE26" s="20"/>
      <c r="BF26" s="3" t="s">
        <v>19</v>
      </c>
      <c r="BG26" s="8"/>
      <c r="BH26" s="1"/>
      <c r="BI26" s="20"/>
      <c r="BJ26" s="3" t="s">
        <v>19</v>
      </c>
      <c r="BK26" s="8"/>
      <c r="BL26" s="1"/>
      <c r="BM26" s="20"/>
      <c r="BN26" s="3" t="s">
        <v>19</v>
      </c>
      <c r="BO26" s="8"/>
      <c r="BP26" s="1"/>
      <c r="BQ26" s="20"/>
      <c r="BR26" s="3" t="s">
        <v>19</v>
      </c>
      <c r="BS26" s="8"/>
      <c r="BT26" s="1"/>
      <c r="BU26" s="20"/>
      <c r="BV26" s="3" t="s">
        <v>19</v>
      </c>
      <c r="BW26" s="8"/>
      <c r="BX26" s="1"/>
      <c r="BY26" s="246"/>
      <c r="BZ26" s="20"/>
      <c r="CA26" s="3" t="s">
        <v>19</v>
      </c>
      <c r="CB26" s="8"/>
      <c r="CC26" s="1"/>
    </row>
    <row r="27" spans="1:81" ht="15">
      <c r="A27" s="20"/>
      <c r="B27" s="3"/>
      <c r="C27" s="8"/>
      <c r="D27" s="158"/>
      <c r="E27" s="246"/>
      <c r="F27" s="246"/>
      <c r="G27" s="258"/>
      <c r="I27" s="20"/>
      <c r="J27" s="3"/>
      <c r="K27" s="8"/>
      <c r="L27" s="158"/>
      <c r="M27" s="20"/>
      <c r="N27" s="3"/>
      <c r="O27" s="8"/>
      <c r="P27" s="158"/>
      <c r="Q27" s="20"/>
      <c r="R27" s="3"/>
      <c r="S27" s="8"/>
      <c r="T27" s="1"/>
      <c r="U27" s="20"/>
      <c r="V27" s="3"/>
      <c r="W27" s="8"/>
      <c r="X27" s="1"/>
      <c r="Y27" s="20"/>
      <c r="Z27" s="3"/>
      <c r="AA27" s="8"/>
      <c r="AB27" s="1"/>
      <c r="AC27" s="20"/>
      <c r="AD27" s="3"/>
      <c r="AE27" s="8"/>
      <c r="AF27" s="1"/>
      <c r="AG27" s="20"/>
      <c r="AH27" s="3"/>
      <c r="AI27" s="8"/>
      <c r="AJ27" s="1"/>
      <c r="AK27" s="20"/>
      <c r="AL27" s="3"/>
      <c r="AM27" s="8"/>
      <c r="AN27" s="1"/>
      <c r="AO27" s="20"/>
      <c r="AP27" s="3"/>
      <c r="AQ27" s="8"/>
      <c r="AR27" s="1"/>
      <c r="AS27" s="20"/>
      <c r="AT27" s="3"/>
      <c r="AU27" s="8"/>
      <c r="AV27" s="1"/>
      <c r="AW27" s="20"/>
      <c r="AX27" s="3"/>
      <c r="AY27" s="8"/>
      <c r="AZ27" s="1"/>
      <c r="BA27" s="20"/>
      <c r="BB27" s="3"/>
      <c r="BC27" s="8"/>
      <c r="BD27" s="1"/>
      <c r="BE27" s="20"/>
      <c r="BF27" s="3"/>
      <c r="BG27" s="8"/>
      <c r="BH27" s="1"/>
      <c r="BI27" s="20"/>
      <c r="BJ27" s="3"/>
      <c r="BK27" s="8"/>
      <c r="BL27" s="1"/>
      <c r="BM27" s="20"/>
      <c r="BN27" s="3"/>
      <c r="BO27" s="8"/>
      <c r="BP27" s="1"/>
      <c r="BQ27" s="20"/>
      <c r="BR27" s="3"/>
      <c r="BS27" s="8"/>
      <c r="BT27" s="1"/>
      <c r="BU27" s="20"/>
      <c r="BV27" s="3"/>
      <c r="BW27" s="8"/>
      <c r="BX27" s="1"/>
      <c r="BY27" s="246"/>
      <c r="BZ27" s="20"/>
      <c r="CA27" s="3"/>
      <c r="CB27" s="8"/>
      <c r="CC27" s="1"/>
    </row>
    <row r="28" spans="1:81" ht="18.75">
      <c r="A28" s="560" t="s">
        <v>394</v>
      </c>
      <c r="B28" s="372" t="s">
        <v>333</v>
      </c>
      <c r="C28" s="85"/>
      <c r="D28" s="158"/>
      <c r="E28" s="246"/>
      <c r="F28" s="246"/>
      <c r="G28" s="258"/>
      <c r="I28" s="560" t="s">
        <v>394</v>
      </c>
      <c r="J28" s="372" t="s">
        <v>333</v>
      </c>
      <c r="K28" s="85"/>
      <c r="L28" s="158"/>
      <c r="M28" s="560" t="s">
        <v>394</v>
      </c>
      <c r="N28" s="372" t="s">
        <v>333</v>
      </c>
      <c r="O28" s="85"/>
      <c r="P28" s="158"/>
      <c r="Q28" s="560" t="s">
        <v>394</v>
      </c>
      <c r="R28" s="372" t="s">
        <v>333</v>
      </c>
      <c r="S28" s="85"/>
      <c r="T28" s="1"/>
      <c r="U28" s="560" t="s">
        <v>394</v>
      </c>
      <c r="V28" s="372" t="s">
        <v>333</v>
      </c>
      <c r="W28" s="85"/>
      <c r="X28" s="1"/>
      <c r="Y28" s="560" t="s">
        <v>394</v>
      </c>
      <c r="Z28" s="372" t="s">
        <v>333</v>
      </c>
      <c r="AA28" s="85"/>
      <c r="AB28" s="1"/>
      <c r="AC28" s="560" t="s">
        <v>394</v>
      </c>
      <c r="AD28" s="372" t="s">
        <v>333</v>
      </c>
      <c r="AE28" s="85"/>
      <c r="AF28" s="1"/>
      <c r="AG28" s="560" t="s">
        <v>394</v>
      </c>
      <c r="AH28" s="372" t="s">
        <v>333</v>
      </c>
      <c r="AI28" s="85"/>
      <c r="AJ28" s="1"/>
      <c r="AK28" s="560" t="s">
        <v>394</v>
      </c>
      <c r="AL28" s="372" t="s">
        <v>333</v>
      </c>
      <c r="AM28" s="85"/>
      <c r="AN28" s="1"/>
      <c r="AO28" s="560" t="s">
        <v>394</v>
      </c>
      <c r="AP28" s="372" t="s">
        <v>333</v>
      </c>
      <c r="AQ28" s="85"/>
      <c r="AR28" s="1"/>
      <c r="AS28" s="560" t="s">
        <v>394</v>
      </c>
      <c r="AT28" s="372" t="s">
        <v>333</v>
      </c>
      <c r="AU28" s="85"/>
      <c r="AV28" s="1"/>
      <c r="AW28" s="560" t="s">
        <v>394</v>
      </c>
      <c r="AX28" s="372" t="s">
        <v>333</v>
      </c>
      <c r="AY28" s="85"/>
      <c r="AZ28" s="1"/>
      <c r="BA28" s="560" t="s">
        <v>394</v>
      </c>
      <c r="BB28" s="372" t="s">
        <v>333</v>
      </c>
      <c r="BC28" s="85"/>
      <c r="BD28" s="1"/>
      <c r="BE28" s="560" t="s">
        <v>394</v>
      </c>
      <c r="BF28" s="372" t="s">
        <v>333</v>
      </c>
      <c r="BG28" s="85"/>
      <c r="BH28" s="1"/>
      <c r="BI28" s="560" t="s">
        <v>394</v>
      </c>
      <c r="BJ28" s="372" t="s">
        <v>333</v>
      </c>
      <c r="BK28" s="85"/>
      <c r="BL28" s="1"/>
      <c r="BM28" s="560" t="s">
        <v>394</v>
      </c>
      <c r="BN28" s="372" t="s">
        <v>333</v>
      </c>
      <c r="BO28" s="85"/>
      <c r="BP28" s="1"/>
      <c r="BQ28" s="560" t="s">
        <v>394</v>
      </c>
      <c r="BR28" s="372" t="s">
        <v>333</v>
      </c>
      <c r="BS28" s="85"/>
      <c r="BT28" s="1"/>
      <c r="BU28" s="560" t="s">
        <v>394</v>
      </c>
      <c r="BV28" s="372" t="s">
        <v>333</v>
      </c>
      <c r="BW28" s="85"/>
      <c r="BX28" s="1"/>
      <c r="BY28" s="246"/>
      <c r="BZ28" s="560" t="s">
        <v>394</v>
      </c>
      <c r="CA28" s="372" t="s">
        <v>333</v>
      </c>
      <c r="CB28" s="85"/>
      <c r="CC28" s="1"/>
    </row>
    <row r="29" spans="1:81" ht="18" customHeight="1">
      <c r="A29" s="83" t="s">
        <v>217</v>
      </c>
      <c r="B29" s="338" t="s">
        <v>322</v>
      </c>
      <c r="C29" s="85" t="s">
        <v>13</v>
      </c>
      <c r="D29" s="68">
        <f>L29+P29+T29+X29+AB29+AF29+AJ29+AN29+AR29+AV29+AZ29+BD29+BH29+BL29+BP29+BT29+BX29+CC29</f>
        <v>0.39</v>
      </c>
      <c r="E29" s="68" t="e">
        <f>#REF!+#REF!+#REF!+#REF!+#REF!+#REF!+#REF!+#REF!+#REF!+#REF!+#REF!+#REF!+#REF!+#REF!+#REF!+#REF!+#REF!+#REF!</f>
        <v>#REF!</v>
      </c>
      <c r="F29" s="77" t="e">
        <f>#REF!+#REF!+#REF!+#REF!+#REF!+#REF!+#REF!+#REF!+#REF!+#REF!+#REF!+#REF!+#REF!+#REF!+#REF!+#REF!+#REF!+#REF!</f>
        <v>#REF!</v>
      </c>
      <c r="G29" s="259" t="e">
        <f>E29/D29*100</f>
        <v>#REF!</v>
      </c>
      <c r="I29" s="83" t="s">
        <v>217</v>
      </c>
      <c r="J29" s="338" t="s">
        <v>322</v>
      </c>
      <c r="K29" s="85" t="s">
        <v>13</v>
      </c>
      <c r="L29" s="60"/>
      <c r="M29" s="83" t="s">
        <v>217</v>
      </c>
      <c r="N29" s="338" t="s">
        <v>322</v>
      </c>
      <c r="O29" s="85" t="s">
        <v>13</v>
      </c>
      <c r="P29" s="60"/>
      <c r="Q29" s="83" t="s">
        <v>217</v>
      </c>
      <c r="R29" s="338" t="s">
        <v>322</v>
      </c>
      <c r="S29" s="85" t="s">
        <v>13</v>
      </c>
      <c r="T29" s="60"/>
      <c r="U29" s="83" t="s">
        <v>217</v>
      </c>
      <c r="V29" s="338" t="s">
        <v>322</v>
      </c>
      <c r="W29" s="85" t="s">
        <v>13</v>
      </c>
      <c r="X29" s="60">
        <v>0.12</v>
      </c>
      <c r="Y29" s="83" t="s">
        <v>217</v>
      </c>
      <c r="Z29" s="338" t="s">
        <v>322</v>
      </c>
      <c r="AA29" s="85" t="s">
        <v>13</v>
      </c>
      <c r="AB29" s="60"/>
      <c r="AC29" s="83" t="s">
        <v>217</v>
      </c>
      <c r="AD29" s="338" t="s">
        <v>322</v>
      </c>
      <c r="AE29" s="85" t="s">
        <v>13</v>
      </c>
      <c r="AF29" s="60"/>
      <c r="AG29" s="83" t="s">
        <v>217</v>
      </c>
      <c r="AH29" s="338" t="s">
        <v>322</v>
      </c>
      <c r="AI29" s="85" t="s">
        <v>13</v>
      </c>
      <c r="AJ29" s="60"/>
      <c r="AK29" s="83" t="s">
        <v>217</v>
      </c>
      <c r="AL29" s="338" t="s">
        <v>322</v>
      </c>
      <c r="AM29" s="85" t="s">
        <v>13</v>
      </c>
      <c r="AN29" s="60"/>
      <c r="AO29" s="83" t="s">
        <v>217</v>
      </c>
      <c r="AP29" s="338" t="s">
        <v>322</v>
      </c>
      <c r="AQ29" s="85" t="s">
        <v>13</v>
      </c>
      <c r="AR29" s="60">
        <v>0.2</v>
      </c>
      <c r="AS29" s="83" t="s">
        <v>217</v>
      </c>
      <c r="AT29" s="338" t="s">
        <v>322</v>
      </c>
      <c r="AU29" s="85" t="s">
        <v>13</v>
      </c>
      <c r="AV29" s="60"/>
      <c r="AW29" s="83" t="s">
        <v>217</v>
      </c>
      <c r="AX29" s="338" t="s">
        <v>322</v>
      </c>
      <c r="AY29" s="85" t="s">
        <v>13</v>
      </c>
      <c r="AZ29" s="60"/>
      <c r="BA29" s="83" t="s">
        <v>217</v>
      </c>
      <c r="BB29" s="338" t="s">
        <v>322</v>
      </c>
      <c r="BC29" s="85" t="s">
        <v>13</v>
      </c>
      <c r="BD29" s="60"/>
      <c r="BE29" s="83" t="s">
        <v>217</v>
      </c>
      <c r="BF29" s="338" t="s">
        <v>322</v>
      </c>
      <c r="BG29" s="85" t="s">
        <v>13</v>
      </c>
      <c r="BH29" s="60"/>
      <c r="BI29" s="83" t="s">
        <v>217</v>
      </c>
      <c r="BJ29" s="338" t="s">
        <v>322</v>
      </c>
      <c r="BK29" s="85" t="s">
        <v>13</v>
      </c>
      <c r="BL29" s="60"/>
      <c r="BM29" s="83" t="s">
        <v>217</v>
      </c>
      <c r="BN29" s="338" t="s">
        <v>322</v>
      </c>
      <c r="BO29" s="85" t="s">
        <v>13</v>
      </c>
      <c r="BP29" s="60"/>
      <c r="BQ29" s="83" t="s">
        <v>217</v>
      </c>
      <c r="BR29" s="338" t="s">
        <v>322</v>
      </c>
      <c r="BS29" s="85" t="s">
        <v>13</v>
      </c>
      <c r="BT29" s="152">
        <v>0.07</v>
      </c>
      <c r="BU29" s="83" t="s">
        <v>217</v>
      </c>
      <c r="BV29" s="338" t="s">
        <v>322</v>
      </c>
      <c r="BW29" s="85" t="s">
        <v>13</v>
      </c>
      <c r="BX29" s="60"/>
      <c r="BY29" s="256"/>
      <c r="BZ29" s="83" t="s">
        <v>217</v>
      </c>
      <c r="CA29" s="338" t="s">
        <v>322</v>
      </c>
      <c r="CB29" s="85" t="s">
        <v>13</v>
      </c>
      <c r="CC29" s="60"/>
    </row>
    <row r="30" spans="1:81" ht="15.75">
      <c r="A30" s="83" t="s">
        <v>156</v>
      </c>
      <c r="B30" s="338" t="s">
        <v>337</v>
      </c>
      <c r="C30" s="85" t="s">
        <v>13</v>
      </c>
      <c r="D30" s="68">
        <f>L30+P30+T30+X30+AB30+AF30+AJ30+AN30+AR30+AV30+AZ30+BD30+BH30+BL30+BP30+BT30+BX30+CC30</f>
        <v>0.009</v>
      </c>
      <c r="E30" s="68" t="e">
        <f>#REF!+#REF!+#REF!+#REF!+#REF!+#REF!+#REF!+#REF!+#REF!+#REF!+#REF!+#REF!+#REF!+#REF!+#REF!+#REF!+#REF!+#REF!</f>
        <v>#REF!</v>
      </c>
      <c r="F30" s="77" t="e">
        <f>#REF!+#REF!+#REF!+#REF!+#REF!+#REF!+#REF!+#REF!+#REF!+#REF!+#REF!+#REF!+#REF!+#REF!+#REF!+#REF!+#REF!+#REF!</f>
        <v>#REF!</v>
      </c>
      <c r="G30" s="259" t="e">
        <f>E30/D30*100</f>
        <v>#REF!</v>
      </c>
      <c r="I30" s="83" t="s">
        <v>156</v>
      </c>
      <c r="J30" s="338" t="s">
        <v>337</v>
      </c>
      <c r="K30" s="85" t="s">
        <v>13</v>
      </c>
      <c r="L30" s="60"/>
      <c r="M30" s="83" t="s">
        <v>156</v>
      </c>
      <c r="N30" s="338" t="s">
        <v>337</v>
      </c>
      <c r="O30" s="85" t="s">
        <v>13</v>
      </c>
      <c r="P30" s="60"/>
      <c r="Q30" s="83" t="s">
        <v>156</v>
      </c>
      <c r="R30" s="338" t="s">
        <v>337</v>
      </c>
      <c r="S30" s="85" t="s">
        <v>13</v>
      </c>
      <c r="T30" s="60"/>
      <c r="U30" s="83" t="s">
        <v>156</v>
      </c>
      <c r="V30" s="338" t="s">
        <v>337</v>
      </c>
      <c r="W30" s="85" t="s">
        <v>13</v>
      </c>
      <c r="X30" s="60"/>
      <c r="Y30" s="83" t="s">
        <v>156</v>
      </c>
      <c r="Z30" s="338" t="s">
        <v>337</v>
      </c>
      <c r="AA30" s="85" t="s">
        <v>13</v>
      </c>
      <c r="AB30" s="60"/>
      <c r="AC30" s="83" t="s">
        <v>156</v>
      </c>
      <c r="AD30" s="338" t="s">
        <v>337</v>
      </c>
      <c r="AE30" s="85" t="s">
        <v>13</v>
      </c>
      <c r="AF30" s="60"/>
      <c r="AG30" s="83" t="s">
        <v>156</v>
      </c>
      <c r="AH30" s="338" t="s">
        <v>337</v>
      </c>
      <c r="AI30" s="85" t="s">
        <v>13</v>
      </c>
      <c r="AJ30" s="60"/>
      <c r="AK30" s="83" t="s">
        <v>156</v>
      </c>
      <c r="AL30" s="338" t="s">
        <v>337</v>
      </c>
      <c r="AM30" s="85" t="s">
        <v>13</v>
      </c>
      <c r="AN30" s="60"/>
      <c r="AO30" s="83" t="s">
        <v>156</v>
      </c>
      <c r="AP30" s="338" t="s">
        <v>337</v>
      </c>
      <c r="AQ30" s="85" t="s">
        <v>13</v>
      </c>
      <c r="AR30" s="60"/>
      <c r="AS30" s="83" t="s">
        <v>156</v>
      </c>
      <c r="AT30" s="338" t="s">
        <v>337</v>
      </c>
      <c r="AU30" s="85" t="s">
        <v>13</v>
      </c>
      <c r="AV30" s="60"/>
      <c r="AW30" s="83" t="s">
        <v>156</v>
      </c>
      <c r="AX30" s="338" t="s">
        <v>337</v>
      </c>
      <c r="AY30" s="85" t="s">
        <v>13</v>
      </c>
      <c r="AZ30" s="60"/>
      <c r="BA30" s="83" t="s">
        <v>156</v>
      </c>
      <c r="BB30" s="338" t="s">
        <v>337</v>
      </c>
      <c r="BC30" s="85" t="s">
        <v>13</v>
      </c>
      <c r="BD30" s="60"/>
      <c r="BE30" s="83" t="s">
        <v>156</v>
      </c>
      <c r="BF30" s="338" t="s">
        <v>337</v>
      </c>
      <c r="BG30" s="85" t="s">
        <v>13</v>
      </c>
      <c r="BH30" s="60"/>
      <c r="BI30" s="83" t="s">
        <v>156</v>
      </c>
      <c r="BJ30" s="338" t="s">
        <v>337</v>
      </c>
      <c r="BK30" s="85" t="s">
        <v>13</v>
      </c>
      <c r="BL30" s="60"/>
      <c r="BM30" s="83" t="s">
        <v>156</v>
      </c>
      <c r="BN30" s="338" t="s">
        <v>337</v>
      </c>
      <c r="BO30" s="85" t="s">
        <v>13</v>
      </c>
      <c r="BP30" s="60"/>
      <c r="BQ30" s="83" t="s">
        <v>156</v>
      </c>
      <c r="BR30" s="338" t="s">
        <v>337</v>
      </c>
      <c r="BS30" s="85" t="s">
        <v>13</v>
      </c>
      <c r="BT30" s="153">
        <v>0.009</v>
      </c>
      <c r="BU30" s="83" t="s">
        <v>156</v>
      </c>
      <c r="BV30" s="338" t="s">
        <v>337</v>
      </c>
      <c r="BW30" s="85" t="s">
        <v>13</v>
      </c>
      <c r="BX30" s="60"/>
      <c r="BY30" s="253"/>
      <c r="BZ30" s="83" t="s">
        <v>156</v>
      </c>
      <c r="CA30" s="338" t="s">
        <v>337</v>
      </c>
      <c r="CB30" s="85" t="s">
        <v>13</v>
      </c>
      <c r="CC30" s="60"/>
    </row>
    <row r="31" spans="1:81" ht="15" customHeight="1" hidden="1">
      <c r="A31" s="131" t="s">
        <v>157</v>
      </c>
      <c r="B31" s="371" t="s">
        <v>152</v>
      </c>
      <c r="C31" s="279" t="s">
        <v>10</v>
      </c>
      <c r="D31" s="60">
        <f>L31+P31+T31+X31+AB31+AF31+AJ31+AN31+AR31+AV31+AZ31+BD31+BH31+BL31+BP31+BT31+BX31+CC31</f>
        <v>0</v>
      </c>
      <c r="E31" s="68" t="e">
        <f>#REF!+#REF!+#REF!+#REF!+#REF!+#REF!+#REF!+#REF!+#REF!+#REF!+#REF!+#REF!+#REF!+#REF!+#REF!+#REF!+#REF!+#REF!</f>
        <v>#REF!</v>
      </c>
      <c r="F31" s="77" t="e">
        <f>#REF!+#REF!+#REF!+#REF!+#REF!+#REF!+#REF!+#REF!+#REF!+#REF!+#REF!+#REF!+#REF!+#REF!+#REF!+#REF!+#REF!+#REF!</f>
        <v>#REF!</v>
      </c>
      <c r="G31" s="259"/>
      <c r="I31" s="131" t="s">
        <v>157</v>
      </c>
      <c r="J31" s="371" t="s">
        <v>152</v>
      </c>
      <c r="K31" s="279" t="s">
        <v>10</v>
      </c>
      <c r="L31" s="52"/>
      <c r="M31" s="131" t="s">
        <v>157</v>
      </c>
      <c r="N31" s="371" t="s">
        <v>152</v>
      </c>
      <c r="O31" s="279" t="s">
        <v>10</v>
      </c>
      <c r="P31" s="52"/>
      <c r="Q31" s="131" t="s">
        <v>157</v>
      </c>
      <c r="R31" s="371" t="s">
        <v>152</v>
      </c>
      <c r="S31" s="279" t="s">
        <v>10</v>
      </c>
      <c r="T31" s="52"/>
      <c r="U31" s="131" t="s">
        <v>157</v>
      </c>
      <c r="V31" s="371" t="s">
        <v>152</v>
      </c>
      <c r="W31" s="279" t="s">
        <v>10</v>
      </c>
      <c r="X31" s="52"/>
      <c r="Y31" s="131" t="s">
        <v>157</v>
      </c>
      <c r="Z31" s="371" t="s">
        <v>152</v>
      </c>
      <c r="AA31" s="279" t="s">
        <v>10</v>
      </c>
      <c r="AB31" s="52"/>
      <c r="AC31" s="131" t="s">
        <v>157</v>
      </c>
      <c r="AD31" s="371" t="s">
        <v>152</v>
      </c>
      <c r="AE31" s="279" t="s">
        <v>10</v>
      </c>
      <c r="AF31" s="52"/>
      <c r="AG31" s="131" t="s">
        <v>157</v>
      </c>
      <c r="AH31" s="371" t="s">
        <v>152</v>
      </c>
      <c r="AI31" s="279" t="s">
        <v>10</v>
      </c>
      <c r="AJ31" s="52"/>
      <c r="AK31" s="131" t="s">
        <v>157</v>
      </c>
      <c r="AL31" s="371" t="s">
        <v>152</v>
      </c>
      <c r="AM31" s="279" t="s">
        <v>10</v>
      </c>
      <c r="AN31" s="52"/>
      <c r="AO31" s="131" t="s">
        <v>157</v>
      </c>
      <c r="AP31" s="371" t="s">
        <v>152</v>
      </c>
      <c r="AQ31" s="279" t="s">
        <v>10</v>
      </c>
      <c r="AR31" s="52"/>
      <c r="AS31" s="131" t="s">
        <v>157</v>
      </c>
      <c r="AT31" s="371" t="s">
        <v>152</v>
      </c>
      <c r="AU31" s="279" t="s">
        <v>10</v>
      </c>
      <c r="AV31" s="52"/>
      <c r="AW31" s="131" t="s">
        <v>157</v>
      </c>
      <c r="AX31" s="371" t="s">
        <v>152</v>
      </c>
      <c r="AY31" s="279" t="s">
        <v>10</v>
      </c>
      <c r="AZ31" s="52"/>
      <c r="BA31" s="131" t="s">
        <v>157</v>
      </c>
      <c r="BB31" s="371" t="s">
        <v>152</v>
      </c>
      <c r="BC31" s="279" t="s">
        <v>10</v>
      </c>
      <c r="BD31" s="52"/>
      <c r="BE31" s="131" t="s">
        <v>157</v>
      </c>
      <c r="BF31" s="371" t="s">
        <v>152</v>
      </c>
      <c r="BG31" s="279" t="s">
        <v>10</v>
      </c>
      <c r="BH31" s="52"/>
      <c r="BI31" s="131" t="s">
        <v>157</v>
      </c>
      <c r="BJ31" s="371" t="s">
        <v>152</v>
      </c>
      <c r="BK31" s="279" t="s">
        <v>10</v>
      </c>
      <c r="BL31" s="52"/>
      <c r="BM31" s="131" t="s">
        <v>157</v>
      </c>
      <c r="BN31" s="371" t="s">
        <v>152</v>
      </c>
      <c r="BO31" s="279" t="s">
        <v>10</v>
      </c>
      <c r="BP31" s="52"/>
      <c r="BQ31" s="131" t="s">
        <v>157</v>
      </c>
      <c r="BR31" s="371" t="s">
        <v>152</v>
      </c>
      <c r="BS31" s="279" t="s">
        <v>10</v>
      </c>
      <c r="BT31" s="154"/>
      <c r="BU31" s="131" t="s">
        <v>157</v>
      </c>
      <c r="BV31" s="371" t="s">
        <v>152</v>
      </c>
      <c r="BW31" s="279" t="s">
        <v>10</v>
      </c>
      <c r="BX31" s="52"/>
      <c r="BY31" s="253"/>
      <c r="BZ31" s="131" t="s">
        <v>157</v>
      </c>
      <c r="CA31" s="371" t="s">
        <v>152</v>
      </c>
      <c r="CB31" s="279" t="s">
        <v>10</v>
      </c>
      <c r="CC31" s="52"/>
    </row>
    <row r="32" spans="1:81" ht="47.25" customHeight="1">
      <c r="A32" s="83" t="s">
        <v>158</v>
      </c>
      <c r="B32" s="356" t="s">
        <v>338</v>
      </c>
      <c r="C32" s="85" t="s">
        <v>23</v>
      </c>
      <c r="D32" s="52">
        <f>L32+P32+T32+X32+AB32+AF32+AJ32+AN32+AR32+AV32+AZ32+BD32+BH32+BL32+BP32+BT32+BX32+CC32</f>
        <v>182</v>
      </c>
      <c r="E32" s="68" t="e">
        <f>#REF!+#REF!+#REF!+#REF!+#REF!+#REF!+#REF!+#REF!+#REF!+#REF!+#REF!+#REF!+#REF!+#REF!+#REF!+#REF!+#REF!+#REF!</f>
        <v>#REF!</v>
      </c>
      <c r="F32" s="77" t="e">
        <f>#REF!+#REF!+#REF!+#REF!+#REF!+#REF!+#REF!+#REF!+#REF!+#REF!+#REF!+#REF!+#REF!+#REF!+#REF!+#REF!+#REF!+#REF!</f>
        <v>#REF!</v>
      </c>
      <c r="G32" s="259" t="e">
        <f>E32/D32*100</f>
        <v>#REF!</v>
      </c>
      <c r="I32" s="83" t="s">
        <v>158</v>
      </c>
      <c r="J32" s="356" t="s">
        <v>338</v>
      </c>
      <c r="K32" s="85" t="s">
        <v>23</v>
      </c>
      <c r="L32" s="390">
        <v>6</v>
      </c>
      <c r="M32" s="83" t="s">
        <v>158</v>
      </c>
      <c r="N32" s="356" t="s">
        <v>338</v>
      </c>
      <c r="O32" s="85" t="s">
        <v>23</v>
      </c>
      <c r="P32" s="52">
        <v>12</v>
      </c>
      <c r="Q32" s="83" t="s">
        <v>158</v>
      </c>
      <c r="R32" s="356" t="s">
        <v>338</v>
      </c>
      <c r="S32" s="85" t="s">
        <v>23</v>
      </c>
      <c r="T32" s="52">
        <v>7</v>
      </c>
      <c r="U32" s="83" t="s">
        <v>158</v>
      </c>
      <c r="V32" s="356" t="s">
        <v>338</v>
      </c>
      <c r="W32" s="85" t="s">
        <v>23</v>
      </c>
      <c r="X32" s="52">
        <v>15</v>
      </c>
      <c r="Y32" s="83" t="s">
        <v>158</v>
      </c>
      <c r="Z32" s="356" t="s">
        <v>338</v>
      </c>
      <c r="AA32" s="85" t="s">
        <v>23</v>
      </c>
      <c r="AB32" s="52">
        <v>7</v>
      </c>
      <c r="AC32" s="83" t="s">
        <v>158</v>
      </c>
      <c r="AD32" s="356" t="s">
        <v>338</v>
      </c>
      <c r="AE32" s="85" t="s">
        <v>23</v>
      </c>
      <c r="AF32" s="52">
        <v>4</v>
      </c>
      <c r="AG32" s="83" t="s">
        <v>158</v>
      </c>
      <c r="AH32" s="356" t="s">
        <v>338</v>
      </c>
      <c r="AI32" s="85" t="s">
        <v>23</v>
      </c>
      <c r="AJ32" s="52">
        <v>7</v>
      </c>
      <c r="AK32" s="83" t="s">
        <v>158</v>
      </c>
      <c r="AL32" s="356" t="s">
        <v>338</v>
      </c>
      <c r="AM32" s="85" t="s">
        <v>23</v>
      </c>
      <c r="AN32" s="52">
        <v>8</v>
      </c>
      <c r="AO32" s="83" t="s">
        <v>158</v>
      </c>
      <c r="AP32" s="356" t="s">
        <v>338</v>
      </c>
      <c r="AQ32" s="85" t="s">
        <v>23</v>
      </c>
      <c r="AR32" s="52">
        <v>30</v>
      </c>
      <c r="AS32" s="83" t="s">
        <v>158</v>
      </c>
      <c r="AT32" s="356" t="s">
        <v>338</v>
      </c>
      <c r="AU32" s="85" t="s">
        <v>23</v>
      </c>
      <c r="AV32" s="52">
        <v>8</v>
      </c>
      <c r="AW32" s="83" t="s">
        <v>158</v>
      </c>
      <c r="AX32" s="356" t="s">
        <v>338</v>
      </c>
      <c r="AY32" s="85" t="s">
        <v>23</v>
      </c>
      <c r="AZ32" s="52">
        <v>10</v>
      </c>
      <c r="BA32" s="83" t="s">
        <v>158</v>
      </c>
      <c r="BB32" s="356" t="s">
        <v>338</v>
      </c>
      <c r="BC32" s="85" t="s">
        <v>23</v>
      </c>
      <c r="BD32" s="52">
        <v>15</v>
      </c>
      <c r="BE32" s="83" t="s">
        <v>158</v>
      </c>
      <c r="BF32" s="356" t="s">
        <v>338</v>
      </c>
      <c r="BG32" s="85" t="s">
        <v>23</v>
      </c>
      <c r="BH32" s="52">
        <v>8</v>
      </c>
      <c r="BI32" s="83" t="s">
        <v>158</v>
      </c>
      <c r="BJ32" s="356" t="s">
        <v>338</v>
      </c>
      <c r="BK32" s="85" t="s">
        <v>23</v>
      </c>
      <c r="BL32" s="52">
        <v>12</v>
      </c>
      <c r="BM32" s="83" t="s">
        <v>158</v>
      </c>
      <c r="BN32" s="356" t="s">
        <v>338</v>
      </c>
      <c r="BO32" s="85" t="s">
        <v>23</v>
      </c>
      <c r="BP32" s="52">
        <v>7</v>
      </c>
      <c r="BQ32" s="83" t="s">
        <v>158</v>
      </c>
      <c r="BR32" s="356" t="s">
        <v>338</v>
      </c>
      <c r="BS32" s="85" t="s">
        <v>23</v>
      </c>
      <c r="BT32" s="154">
        <v>15</v>
      </c>
      <c r="BU32" s="83" t="s">
        <v>158</v>
      </c>
      <c r="BV32" s="356" t="s">
        <v>338</v>
      </c>
      <c r="BW32" s="85" t="s">
        <v>23</v>
      </c>
      <c r="BX32" s="52">
        <v>7</v>
      </c>
      <c r="BY32" s="253" t="e">
        <f>#REF!/BX32*100</f>
        <v>#REF!</v>
      </c>
      <c r="BZ32" s="83" t="s">
        <v>158</v>
      </c>
      <c r="CA32" s="356" t="s">
        <v>338</v>
      </c>
      <c r="CB32" s="85" t="s">
        <v>23</v>
      </c>
      <c r="CC32" s="52">
        <v>4</v>
      </c>
    </row>
    <row r="33" spans="1:81" ht="15.75">
      <c r="A33" s="83" t="s">
        <v>159</v>
      </c>
      <c r="B33" s="84" t="s">
        <v>318</v>
      </c>
      <c r="C33" s="85" t="s">
        <v>15</v>
      </c>
      <c r="D33" s="381"/>
      <c r="E33" s="68" t="e">
        <f>#REF!+#REF!+#REF!+#REF!+#REF!+#REF!+#REF!+#REF!+#REF!+#REF!+#REF!+#REF!+#REF!+#REF!+#REF!+#REF!+#REF!+#REF!</f>
        <v>#REF!</v>
      </c>
      <c r="F33" s="77" t="e">
        <f>#REF!+#REF!+#REF!+#REF!+#REF!+#REF!+#REF!+#REF!+#REF!+#REF!+#REF!+#REF!+#REF!+#REF!+#REF!+#REF!+#REF!+#REF!</f>
        <v>#REF!</v>
      </c>
      <c r="G33" s="259"/>
      <c r="I33" s="83" t="s">
        <v>159</v>
      </c>
      <c r="J33" s="84" t="s">
        <v>318</v>
      </c>
      <c r="K33" s="85" t="s">
        <v>15</v>
      </c>
      <c r="L33" s="390"/>
      <c r="M33" s="83" t="s">
        <v>159</v>
      </c>
      <c r="N33" s="84" t="s">
        <v>318</v>
      </c>
      <c r="O33" s="85" t="s">
        <v>15</v>
      </c>
      <c r="P33" s="52"/>
      <c r="Q33" s="83" t="s">
        <v>159</v>
      </c>
      <c r="R33" s="84" t="s">
        <v>318</v>
      </c>
      <c r="S33" s="85" t="s">
        <v>15</v>
      </c>
      <c r="T33" s="52"/>
      <c r="U33" s="83" t="s">
        <v>159</v>
      </c>
      <c r="V33" s="84" t="s">
        <v>318</v>
      </c>
      <c r="W33" s="85" t="s">
        <v>15</v>
      </c>
      <c r="X33" s="52"/>
      <c r="Y33" s="83" t="s">
        <v>159</v>
      </c>
      <c r="Z33" s="84" t="s">
        <v>318</v>
      </c>
      <c r="AA33" s="85" t="s">
        <v>15</v>
      </c>
      <c r="AB33" s="52"/>
      <c r="AC33" s="83" t="s">
        <v>159</v>
      </c>
      <c r="AD33" s="84" t="s">
        <v>318</v>
      </c>
      <c r="AE33" s="85" t="s">
        <v>15</v>
      </c>
      <c r="AF33" s="52"/>
      <c r="AG33" s="83" t="s">
        <v>159</v>
      </c>
      <c r="AH33" s="84" t="s">
        <v>318</v>
      </c>
      <c r="AI33" s="85" t="s">
        <v>15</v>
      </c>
      <c r="AJ33" s="52"/>
      <c r="AK33" s="83" t="s">
        <v>159</v>
      </c>
      <c r="AL33" s="84" t="s">
        <v>318</v>
      </c>
      <c r="AM33" s="85" t="s">
        <v>15</v>
      </c>
      <c r="AN33" s="52"/>
      <c r="AO33" s="83" t="s">
        <v>159</v>
      </c>
      <c r="AP33" s="84" t="s">
        <v>318</v>
      </c>
      <c r="AQ33" s="85" t="s">
        <v>15</v>
      </c>
      <c r="AR33" s="52"/>
      <c r="AS33" s="83" t="s">
        <v>159</v>
      </c>
      <c r="AT33" s="84" t="s">
        <v>318</v>
      </c>
      <c r="AU33" s="85" t="s">
        <v>15</v>
      </c>
      <c r="AV33" s="52"/>
      <c r="AW33" s="83" t="s">
        <v>159</v>
      </c>
      <c r="AX33" s="84" t="s">
        <v>318</v>
      </c>
      <c r="AY33" s="85" t="s">
        <v>15</v>
      </c>
      <c r="AZ33" s="52"/>
      <c r="BA33" s="83" t="s">
        <v>159</v>
      </c>
      <c r="BB33" s="84" t="s">
        <v>318</v>
      </c>
      <c r="BC33" s="85" t="s">
        <v>15</v>
      </c>
      <c r="BD33" s="52"/>
      <c r="BE33" s="83" t="s">
        <v>159</v>
      </c>
      <c r="BF33" s="84" t="s">
        <v>318</v>
      </c>
      <c r="BG33" s="85" t="s">
        <v>15</v>
      </c>
      <c r="BH33" s="52"/>
      <c r="BI33" s="83" t="s">
        <v>159</v>
      </c>
      <c r="BJ33" s="84" t="s">
        <v>318</v>
      </c>
      <c r="BK33" s="85" t="s">
        <v>15</v>
      </c>
      <c r="BL33" s="52"/>
      <c r="BM33" s="83" t="s">
        <v>159</v>
      </c>
      <c r="BN33" s="84" t="s">
        <v>318</v>
      </c>
      <c r="BO33" s="85" t="s">
        <v>15</v>
      </c>
      <c r="BP33" s="52"/>
      <c r="BQ33" s="83" t="s">
        <v>159</v>
      </c>
      <c r="BR33" s="84" t="s">
        <v>318</v>
      </c>
      <c r="BS33" s="85" t="s">
        <v>15</v>
      </c>
      <c r="BT33" s="154"/>
      <c r="BU33" s="83" t="s">
        <v>159</v>
      </c>
      <c r="BV33" s="84" t="s">
        <v>318</v>
      </c>
      <c r="BW33" s="85" t="s">
        <v>15</v>
      </c>
      <c r="BX33" s="52"/>
      <c r="BY33" s="253"/>
      <c r="BZ33" s="83" t="s">
        <v>159</v>
      </c>
      <c r="CA33" s="84" t="s">
        <v>318</v>
      </c>
      <c r="CB33" s="85" t="s">
        <v>15</v>
      </c>
      <c r="CC33" s="52"/>
    </row>
    <row r="34" spans="1:81" ht="15.75">
      <c r="A34" s="83" t="s">
        <v>160</v>
      </c>
      <c r="B34" s="338" t="s">
        <v>21</v>
      </c>
      <c r="C34" s="85" t="s">
        <v>15</v>
      </c>
      <c r="D34" s="381">
        <f aca="true" t="shared" si="0" ref="D34:D47">L34+P34+T34+X34+AB34+AF34+AJ34+AN34+AR34+AV34+AZ34+BD34+BH34+BL34+BP34+BT34+BX34+CC34</f>
        <v>1</v>
      </c>
      <c r="E34" s="68" t="e">
        <f>#REF!+#REF!+#REF!+#REF!+#REF!+#REF!+#REF!+#REF!+#REF!+#REF!+#REF!+#REF!+#REF!+#REF!+#REF!+#REF!+#REF!+#REF!</f>
        <v>#REF!</v>
      </c>
      <c r="F34" s="77" t="e">
        <f>#REF!+#REF!+#REF!+#REF!+#REF!+#REF!+#REF!+#REF!+#REF!+#REF!+#REF!+#REF!+#REF!+#REF!+#REF!+#REF!+#REF!+#REF!</f>
        <v>#REF!</v>
      </c>
      <c r="G34" s="259" t="e">
        <f>E34/D34*100</f>
        <v>#REF!</v>
      </c>
      <c r="I34" s="83" t="s">
        <v>160</v>
      </c>
      <c r="J34" s="338" t="s">
        <v>21</v>
      </c>
      <c r="K34" s="85" t="s">
        <v>15</v>
      </c>
      <c r="L34" s="390"/>
      <c r="M34" s="83" t="s">
        <v>160</v>
      </c>
      <c r="N34" s="338" t="s">
        <v>21</v>
      </c>
      <c r="O34" s="85" t="s">
        <v>15</v>
      </c>
      <c r="P34" s="52"/>
      <c r="Q34" s="83" t="s">
        <v>160</v>
      </c>
      <c r="R34" s="338" t="s">
        <v>21</v>
      </c>
      <c r="S34" s="85" t="s">
        <v>15</v>
      </c>
      <c r="T34" s="52"/>
      <c r="U34" s="83" t="s">
        <v>160</v>
      </c>
      <c r="V34" s="338" t="s">
        <v>21</v>
      </c>
      <c r="W34" s="85" t="s">
        <v>15</v>
      </c>
      <c r="X34" s="52"/>
      <c r="Y34" s="83" t="s">
        <v>160</v>
      </c>
      <c r="Z34" s="338" t="s">
        <v>21</v>
      </c>
      <c r="AA34" s="85" t="s">
        <v>15</v>
      </c>
      <c r="AB34" s="52"/>
      <c r="AC34" s="83" t="s">
        <v>160</v>
      </c>
      <c r="AD34" s="338" t="s">
        <v>21</v>
      </c>
      <c r="AE34" s="85" t="s">
        <v>15</v>
      </c>
      <c r="AF34" s="52"/>
      <c r="AG34" s="83" t="s">
        <v>160</v>
      </c>
      <c r="AH34" s="338" t="s">
        <v>21</v>
      </c>
      <c r="AI34" s="85" t="s">
        <v>15</v>
      </c>
      <c r="AJ34" s="52"/>
      <c r="AK34" s="83" t="s">
        <v>160</v>
      </c>
      <c r="AL34" s="338" t="s">
        <v>21</v>
      </c>
      <c r="AM34" s="85" t="s">
        <v>15</v>
      </c>
      <c r="AN34" s="52"/>
      <c r="AO34" s="83" t="s">
        <v>160</v>
      </c>
      <c r="AP34" s="338" t="s">
        <v>21</v>
      </c>
      <c r="AQ34" s="85" t="s">
        <v>15</v>
      </c>
      <c r="AR34" s="52"/>
      <c r="AS34" s="83" t="s">
        <v>160</v>
      </c>
      <c r="AT34" s="338" t="s">
        <v>21</v>
      </c>
      <c r="AU34" s="85" t="s">
        <v>15</v>
      </c>
      <c r="AV34" s="52"/>
      <c r="AW34" s="83" t="s">
        <v>160</v>
      </c>
      <c r="AX34" s="338" t="s">
        <v>21</v>
      </c>
      <c r="AY34" s="85" t="s">
        <v>15</v>
      </c>
      <c r="AZ34" s="52"/>
      <c r="BA34" s="83" t="s">
        <v>160</v>
      </c>
      <c r="BB34" s="338" t="s">
        <v>21</v>
      </c>
      <c r="BC34" s="85" t="s">
        <v>15</v>
      </c>
      <c r="BD34" s="52"/>
      <c r="BE34" s="83" t="s">
        <v>160</v>
      </c>
      <c r="BF34" s="338" t="s">
        <v>21</v>
      </c>
      <c r="BG34" s="85" t="s">
        <v>15</v>
      </c>
      <c r="BH34" s="52"/>
      <c r="BI34" s="83" t="s">
        <v>160</v>
      </c>
      <c r="BJ34" s="338" t="s">
        <v>21</v>
      </c>
      <c r="BK34" s="85" t="s">
        <v>15</v>
      </c>
      <c r="BL34" s="52"/>
      <c r="BM34" s="83" t="s">
        <v>160</v>
      </c>
      <c r="BN34" s="338" t="s">
        <v>21</v>
      </c>
      <c r="BO34" s="85" t="s">
        <v>15</v>
      </c>
      <c r="BP34" s="52"/>
      <c r="BQ34" s="83" t="s">
        <v>160</v>
      </c>
      <c r="BR34" s="338" t="s">
        <v>21</v>
      </c>
      <c r="BS34" s="85" t="s">
        <v>15</v>
      </c>
      <c r="BT34" s="379">
        <v>1</v>
      </c>
      <c r="BU34" s="83" t="s">
        <v>160</v>
      </c>
      <c r="BV34" s="338" t="s">
        <v>21</v>
      </c>
      <c r="BW34" s="85" t="s">
        <v>15</v>
      </c>
      <c r="BX34" s="52"/>
      <c r="BY34" s="253"/>
      <c r="BZ34" s="83" t="s">
        <v>160</v>
      </c>
      <c r="CA34" s="338" t="s">
        <v>21</v>
      </c>
      <c r="CB34" s="85" t="s">
        <v>15</v>
      </c>
      <c r="CC34" s="52"/>
    </row>
    <row r="35" spans="1:81" ht="15.75">
      <c r="A35" s="83" t="s">
        <v>161</v>
      </c>
      <c r="B35" s="338" t="s">
        <v>339</v>
      </c>
      <c r="C35" s="85" t="s">
        <v>22</v>
      </c>
      <c r="D35" s="68">
        <f t="shared" si="0"/>
        <v>1.992</v>
      </c>
      <c r="E35" s="68" t="e">
        <f>#REF!+#REF!+#REF!+#REF!+#REF!+#REF!+#REF!+#REF!+#REF!+#REF!+#REF!+#REF!+#REF!+#REF!+#REF!+#REF!+#REF!+#REF!</f>
        <v>#REF!</v>
      </c>
      <c r="F35" s="77" t="e">
        <f>#REF!+#REF!+#REF!+#REF!+#REF!+#REF!+#REF!+#REF!+#REF!+#REF!+#REF!+#REF!+#REF!+#REF!+#REF!+#REF!+#REF!+#REF!</f>
        <v>#REF!</v>
      </c>
      <c r="G35" s="259" t="e">
        <f>E35/D35*100</f>
        <v>#REF!</v>
      </c>
      <c r="I35" s="83" t="s">
        <v>161</v>
      </c>
      <c r="J35" s="338" t="s">
        <v>339</v>
      </c>
      <c r="K35" s="85" t="s">
        <v>22</v>
      </c>
      <c r="L35" s="731">
        <v>0.15</v>
      </c>
      <c r="M35" s="83" t="s">
        <v>161</v>
      </c>
      <c r="N35" s="338" t="s">
        <v>339</v>
      </c>
      <c r="O35" s="85" t="s">
        <v>22</v>
      </c>
      <c r="P35" s="656">
        <v>0.576</v>
      </c>
      <c r="Q35" s="83" t="s">
        <v>161</v>
      </c>
      <c r="R35" s="338" t="s">
        <v>339</v>
      </c>
      <c r="S35" s="85" t="s">
        <v>22</v>
      </c>
      <c r="T35" s="60"/>
      <c r="U35" s="83" t="s">
        <v>161</v>
      </c>
      <c r="V35" s="338" t="s">
        <v>339</v>
      </c>
      <c r="W35" s="85" t="s">
        <v>22</v>
      </c>
      <c r="X35" s="60"/>
      <c r="Y35" s="83" t="s">
        <v>161</v>
      </c>
      <c r="Z35" s="338" t="s">
        <v>339</v>
      </c>
      <c r="AA35" s="85" t="s">
        <v>22</v>
      </c>
      <c r="AB35" s="60"/>
      <c r="AC35" s="83" t="s">
        <v>161</v>
      </c>
      <c r="AD35" s="338" t="s">
        <v>339</v>
      </c>
      <c r="AE35" s="85" t="s">
        <v>22</v>
      </c>
      <c r="AF35" s="60"/>
      <c r="AG35" s="83" t="s">
        <v>161</v>
      </c>
      <c r="AH35" s="338" t="s">
        <v>339</v>
      </c>
      <c r="AI35" s="85" t="s">
        <v>22</v>
      </c>
      <c r="AJ35" s="380">
        <v>0.25</v>
      </c>
      <c r="AK35" s="83" t="s">
        <v>161</v>
      </c>
      <c r="AL35" s="338" t="s">
        <v>339</v>
      </c>
      <c r="AM35" s="85" t="s">
        <v>22</v>
      </c>
      <c r="AN35" s="60">
        <v>0.25</v>
      </c>
      <c r="AO35" s="83" t="s">
        <v>161</v>
      </c>
      <c r="AP35" s="338" t="s">
        <v>339</v>
      </c>
      <c r="AQ35" s="85" t="s">
        <v>22</v>
      </c>
      <c r="AR35" s="60"/>
      <c r="AS35" s="83" t="s">
        <v>161</v>
      </c>
      <c r="AT35" s="338" t="s">
        <v>339</v>
      </c>
      <c r="AU35" s="85" t="s">
        <v>22</v>
      </c>
      <c r="AV35" s="60">
        <v>0.2</v>
      </c>
      <c r="AW35" s="83" t="s">
        <v>161</v>
      </c>
      <c r="AX35" s="338" t="s">
        <v>339</v>
      </c>
      <c r="AY35" s="85" t="s">
        <v>22</v>
      </c>
      <c r="AZ35" s="60">
        <v>0.316</v>
      </c>
      <c r="BA35" s="83" t="s">
        <v>161</v>
      </c>
      <c r="BB35" s="338" t="s">
        <v>339</v>
      </c>
      <c r="BC35" s="85" t="s">
        <v>22</v>
      </c>
      <c r="BD35" s="60"/>
      <c r="BE35" s="83" t="s">
        <v>161</v>
      </c>
      <c r="BF35" s="338" t="s">
        <v>339</v>
      </c>
      <c r="BG35" s="85" t="s">
        <v>22</v>
      </c>
      <c r="BH35" s="60"/>
      <c r="BI35" s="83" t="s">
        <v>161</v>
      </c>
      <c r="BJ35" s="338" t="s">
        <v>339</v>
      </c>
      <c r="BK35" s="85" t="s">
        <v>22</v>
      </c>
      <c r="BL35" s="60"/>
      <c r="BM35" s="83" t="s">
        <v>161</v>
      </c>
      <c r="BN35" s="338" t="s">
        <v>339</v>
      </c>
      <c r="BO35" s="85" t="s">
        <v>22</v>
      </c>
      <c r="BP35" s="60">
        <v>0.25</v>
      </c>
      <c r="BQ35" s="83" t="s">
        <v>161</v>
      </c>
      <c r="BR35" s="338" t="s">
        <v>339</v>
      </c>
      <c r="BS35" s="85" t="s">
        <v>22</v>
      </c>
      <c r="BT35" s="153"/>
      <c r="BU35" s="83" t="s">
        <v>161</v>
      </c>
      <c r="BV35" s="338" t="s">
        <v>339</v>
      </c>
      <c r="BW35" s="85" t="s">
        <v>22</v>
      </c>
      <c r="BX35" s="60"/>
      <c r="BY35" s="253"/>
      <c r="BZ35" s="83" t="s">
        <v>161</v>
      </c>
      <c r="CA35" s="338" t="s">
        <v>339</v>
      </c>
      <c r="CB35" s="85" t="s">
        <v>22</v>
      </c>
      <c r="CC35" s="60"/>
    </row>
    <row r="36" spans="1:81" ht="15" customHeight="1" hidden="1">
      <c r="A36" s="83" t="s">
        <v>162</v>
      </c>
      <c r="B36" s="338" t="s">
        <v>335</v>
      </c>
      <c r="C36" s="85" t="s">
        <v>13</v>
      </c>
      <c r="D36" s="68">
        <f t="shared" si="0"/>
        <v>0</v>
      </c>
      <c r="E36" s="68" t="e">
        <f>#REF!+#REF!+#REF!+#REF!+#REF!+#REF!+#REF!+#REF!+#REF!+#REF!+#REF!+#REF!+#REF!+#REF!+#REF!+#REF!+#REF!+#REF!</f>
        <v>#REF!</v>
      </c>
      <c r="F36" s="77" t="e">
        <f>#REF!+#REF!+#REF!+#REF!+#REF!+#REF!+#REF!+#REF!+#REF!+#REF!+#REF!+#REF!+#REF!+#REF!+#REF!+#REF!+#REF!+#REF!</f>
        <v>#REF!</v>
      </c>
      <c r="G36" s="259"/>
      <c r="I36" s="83" t="s">
        <v>162</v>
      </c>
      <c r="J36" s="338" t="s">
        <v>335</v>
      </c>
      <c r="K36" s="85" t="s">
        <v>13</v>
      </c>
      <c r="L36" s="731"/>
      <c r="M36" s="83" t="s">
        <v>162</v>
      </c>
      <c r="N36" s="338" t="s">
        <v>335</v>
      </c>
      <c r="O36" s="85" t="s">
        <v>13</v>
      </c>
      <c r="P36" s="60"/>
      <c r="Q36" s="83" t="s">
        <v>162</v>
      </c>
      <c r="R36" s="338" t="s">
        <v>335</v>
      </c>
      <c r="S36" s="85" t="s">
        <v>13</v>
      </c>
      <c r="T36" s="60"/>
      <c r="U36" s="83" t="s">
        <v>162</v>
      </c>
      <c r="V36" s="338" t="s">
        <v>335</v>
      </c>
      <c r="W36" s="85" t="s">
        <v>13</v>
      </c>
      <c r="X36" s="60"/>
      <c r="Y36" s="83" t="s">
        <v>162</v>
      </c>
      <c r="Z36" s="338" t="s">
        <v>335</v>
      </c>
      <c r="AA36" s="85" t="s">
        <v>13</v>
      </c>
      <c r="AB36" s="60"/>
      <c r="AC36" s="83" t="s">
        <v>162</v>
      </c>
      <c r="AD36" s="338" t="s">
        <v>335</v>
      </c>
      <c r="AE36" s="85" t="s">
        <v>13</v>
      </c>
      <c r="AF36" s="60"/>
      <c r="AG36" s="83" t="s">
        <v>162</v>
      </c>
      <c r="AH36" s="338" t="s">
        <v>335</v>
      </c>
      <c r="AI36" s="85" t="s">
        <v>13</v>
      </c>
      <c r="AJ36" s="60"/>
      <c r="AK36" s="83" t="s">
        <v>162</v>
      </c>
      <c r="AL36" s="338" t="s">
        <v>335</v>
      </c>
      <c r="AM36" s="85" t="s">
        <v>13</v>
      </c>
      <c r="AN36" s="60"/>
      <c r="AO36" s="83" t="s">
        <v>162</v>
      </c>
      <c r="AP36" s="338" t="s">
        <v>335</v>
      </c>
      <c r="AQ36" s="85" t="s">
        <v>13</v>
      </c>
      <c r="AR36" s="60"/>
      <c r="AS36" s="83" t="s">
        <v>162</v>
      </c>
      <c r="AT36" s="338" t="s">
        <v>335</v>
      </c>
      <c r="AU36" s="85" t="s">
        <v>13</v>
      </c>
      <c r="AV36" s="60"/>
      <c r="AW36" s="83" t="s">
        <v>162</v>
      </c>
      <c r="AX36" s="338" t="s">
        <v>335</v>
      </c>
      <c r="AY36" s="85" t="s">
        <v>13</v>
      </c>
      <c r="AZ36" s="60"/>
      <c r="BA36" s="83" t="s">
        <v>162</v>
      </c>
      <c r="BB36" s="338" t="s">
        <v>335</v>
      </c>
      <c r="BC36" s="85" t="s">
        <v>13</v>
      </c>
      <c r="BD36" s="60"/>
      <c r="BE36" s="83" t="s">
        <v>162</v>
      </c>
      <c r="BF36" s="338" t="s">
        <v>335</v>
      </c>
      <c r="BG36" s="85" t="s">
        <v>13</v>
      </c>
      <c r="BH36" s="60"/>
      <c r="BI36" s="83" t="s">
        <v>162</v>
      </c>
      <c r="BJ36" s="338" t="s">
        <v>335</v>
      </c>
      <c r="BK36" s="85" t="s">
        <v>13</v>
      </c>
      <c r="BL36" s="60"/>
      <c r="BM36" s="83" t="s">
        <v>162</v>
      </c>
      <c r="BN36" s="338" t="s">
        <v>335</v>
      </c>
      <c r="BO36" s="85" t="s">
        <v>13</v>
      </c>
      <c r="BP36" s="60"/>
      <c r="BQ36" s="83" t="s">
        <v>162</v>
      </c>
      <c r="BR36" s="338" t="s">
        <v>335</v>
      </c>
      <c r="BS36" s="85" t="s">
        <v>13</v>
      </c>
      <c r="BT36" s="153"/>
      <c r="BU36" s="83" t="s">
        <v>162</v>
      </c>
      <c r="BV36" s="338" t="s">
        <v>335</v>
      </c>
      <c r="BW36" s="85" t="s">
        <v>13</v>
      </c>
      <c r="BX36" s="60"/>
      <c r="BY36" s="253"/>
      <c r="BZ36" s="83" t="s">
        <v>162</v>
      </c>
      <c r="CA36" s="338" t="s">
        <v>335</v>
      </c>
      <c r="CB36" s="85" t="s">
        <v>13</v>
      </c>
      <c r="CC36" s="60"/>
    </row>
    <row r="37" spans="1:81" ht="15" customHeight="1" hidden="1">
      <c r="A37" s="83" t="s">
        <v>163</v>
      </c>
      <c r="B37" s="338" t="s">
        <v>208</v>
      </c>
      <c r="C37" s="85" t="s">
        <v>13</v>
      </c>
      <c r="D37" s="68">
        <f t="shared" si="0"/>
        <v>0</v>
      </c>
      <c r="E37" s="68" t="e">
        <f>#REF!+#REF!+#REF!+#REF!+#REF!+#REF!+#REF!+#REF!+#REF!+#REF!+#REF!+#REF!+#REF!+#REF!+#REF!+#REF!+#REF!+#REF!</f>
        <v>#REF!</v>
      </c>
      <c r="F37" s="77" t="e">
        <f>#REF!+#REF!+#REF!+#REF!+#REF!+#REF!+#REF!+#REF!+#REF!+#REF!+#REF!+#REF!+#REF!+#REF!+#REF!+#REF!+#REF!+#REF!</f>
        <v>#REF!</v>
      </c>
      <c r="G37" s="259"/>
      <c r="I37" s="83" t="s">
        <v>163</v>
      </c>
      <c r="J37" s="338" t="s">
        <v>208</v>
      </c>
      <c r="K37" s="85" t="s">
        <v>13</v>
      </c>
      <c r="L37" s="731"/>
      <c r="M37" s="83" t="s">
        <v>163</v>
      </c>
      <c r="N37" s="338" t="s">
        <v>208</v>
      </c>
      <c r="O37" s="85" t="s">
        <v>13</v>
      </c>
      <c r="P37" s="60"/>
      <c r="Q37" s="83" t="s">
        <v>163</v>
      </c>
      <c r="R37" s="338" t="s">
        <v>208</v>
      </c>
      <c r="S37" s="85" t="s">
        <v>13</v>
      </c>
      <c r="T37" s="60"/>
      <c r="U37" s="83" t="s">
        <v>163</v>
      </c>
      <c r="V37" s="338" t="s">
        <v>208</v>
      </c>
      <c r="W37" s="85" t="s">
        <v>13</v>
      </c>
      <c r="X37" s="60"/>
      <c r="Y37" s="83" t="s">
        <v>163</v>
      </c>
      <c r="Z37" s="338" t="s">
        <v>208</v>
      </c>
      <c r="AA37" s="85" t="s">
        <v>13</v>
      </c>
      <c r="AB37" s="60"/>
      <c r="AC37" s="83" t="s">
        <v>163</v>
      </c>
      <c r="AD37" s="338" t="s">
        <v>208</v>
      </c>
      <c r="AE37" s="85" t="s">
        <v>13</v>
      </c>
      <c r="AF37" s="60"/>
      <c r="AG37" s="83" t="s">
        <v>163</v>
      </c>
      <c r="AH37" s="338" t="s">
        <v>208</v>
      </c>
      <c r="AI37" s="85" t="s">
        <v>13</v>
      </c>
      <c r="AJ37" s="60"/>
      <c r="AK37" s="83" t="s">
        <v>163</v>
      </c>
      <c r="AL37" s="338" t="s">
        <v>208</v>
      </c>
      <c r="AM37" s="85" t="s">
        <v>13</v>
      </c>
      <c r="AN37" s="60"/>
      <c r="AO37" s="83" t="s">
        <v>163</v>
      </c>
      <c r="AP37" s="338" t="s">
        <v>208</v>
      </c>
      <c r="AQ37" s="85" t="s">
        <v>13</v>
      </c>
      <c r="AR37" s="60"/>
      <c r="AS37" s="83" t="s">
        <v>163</v>
      </c>
      <c r="AT37" s="338" t="s">
        <v>208</v>
      </c>
      <c r="AU37" s="85" t="s">
        <v>13</v>
      </c>
      <c r="AV37" s="60"/>
      <c r="AW37" s="83" t="s">
        <v>163</v>
      </c>
      <c r="AX37" s="338" t="s">
        <v>208</v>
      </c>
      <c r="AY37" s="85" t="s">
        <v>13</v>
      </c>
      <c r="AZ37" s="60"/>
      <c r="BA37" s="83" t="s">
        <v>163</v>
      </c>
      <c r="BB37" s="338" t="s">
        <v>208</v>
      </c>
      <c r="BC37" s="85" t="s">
        <v>13</v>
      </c>
      <c r="BD37" s="60"/>
      <c r="BE37" s="83" t="s">
        <v>163</v>
      </c>
      <c r="BF37" s="338" t="s">
        <v>208</v>
      </c>
      <c r="BG37" s="85" t="s">
        <v>13</v>
      </c>
      <c r="BH37" s="60"/>
      <c r="BI37" s="83" t="s">
        <v>163</v>
      </c>
      <c r="BJ37" s="338" t="s">
        <v>208</v>
      </c>
      <c r="BK37" s="85" t="s">
        <v>13</v>
      </c>
      <c r="BL37" s="60"/>
      <c r="BM37" s="83" t="s">
        <v>163</v>
      </c>
      <c r="BN37" s="338" t="s">
        <v>208</v>
      </c>
      <c r="BO37" s="85" t="s">
        <v>13</v>
      </c>
      <c r="BP37" s="60"/>
      <c r="BQ37" s="83" t="s">
        <v>163</v>
      </c>
      <c r="BR37" s="338" t="s">
        <v>208</v>
      </c>
      <c r="BS37" s="85" t="s">
        <v>13</v>
      </c>
      <c r="BT37" s="153"/>
      <c r="BU37" s="83" t="s">
        <v>163</v>
      </c>
      <c r="BV37" s="338" t="s">
        <v>208</v>
      </c>
      <c r="BW37" s="85" t="s">
        <v>13</v>
      </c>
      <c r="BX37" s="60"/>
      <c r="BY37" s="253"/>
      <c r="BZ37" s="83" t="s">
        <v>163</v>
      </c>
      <c r="CA37" s="338" t="s">
        <v>208</v>
      </c>
      <c r="CB37" s="85" t="s">
        <v>13</v>
      </c>
      <c r="CC37" s="60"/>
    </row>
    <row r="38" spans="1:81" ht="15" customHeight="1">
      <c r="A38" s="83" t="s">
        <v>88</v>
      </c>
      <c r="B38" s="338" t="s">
        <v>209</v>
      </c>
      <c r="C38" s="85" t="s">
        <v>23</v>
      </c>
      <c r="D38" s="381">
        <f t="shared" si="0"/>
        <v>27</v>
      </c>
      <c r="E38" s="68" t="e">
        <f>#REF!+#REF!+#REF!+#REF!+#REF!+#REF!+#REF!+#REF!+#REF!+#REF!+#REF!+#REF!+#REF!+#REF!+#REF!+#REF!+#REF!+#REF!</f>
        <v>#REF!</v>
      </c>
      <c r="F38" s="77" t="e">
        <f>#REF!+#REF!+#REF!+#REF!+#REF!+#REF!+#REF!+#REF!+#REF!+#REF!+#REF!+#REF!+#REF!+#REF!+#REF!+#REF!+#REF!+#REF!</f>
        <v>#REF!</v>
      </c>
      <c r="G38" s="259"/>
      <c r="I38" s="83" t="s">
        <v>88</v>
      </c>
      <c r="J38" s="338" t="s">
        <v>209</v>
      </c>
      <c r="K38" s="85" t="s">
        <v>23</v>
      </c>
      <c r="L38" s="731"/>
      <c r="M38" s="83" t="s">
        <v>88</v>
      </c>
      <c r="N38" s="338" t="s">
        <v>209</v>
      </c>
      <c r="O38" s="85" t="s">
        <v>23</v>
      </c>
      <c r="P38" s="52">
        <v>12</v>
      </c>
      <c r="Q38" s="83" t="s">
        <v>88</v>
      </c>
      <c r="R38" s="338" t="s">
        <v>209</v>
      </c>
      <c r="S38" s="85" t="s">
        <v>23</v>
      </c>
      <c r="T38" s="60"/>
      <c r="U38" s="83" t="s">
        <v>88</v>
      </c>
      <c r="V38" s="338" t="s">
        <v>209</v>
      </c>
      <c r="W38" s="85" t="s">
        <v>23</v>
      </c>
      <c r="X38" s="60"/>
      <c r="Y38" s="83" t="s">
        <v>88</v>
      </c>
      <c r="Z38" s="338" t="s">
        <v>209</v>
      </c>
      <c r="AA38" s="85" t="s">
        <v>23</v>
      </c>
      <c r="AB38" s="60"/>
      <c r="AC38" s="83" t="s">
        <v>88</v>
      </c>
      <c r="AD38" s="338" t="s">
        <v>209</v>
      </c>
      <c r="AE38" s="85" t="s">
        <v>23</v>
      </c>
      <c r="AF38" s="60"/>
      <c r="AG38" s="83" t="s">
        <v>88</v>
      </c>
      <c r="AH38" s="338" t="s">
        <v>209</v>
      </c>
      <c r="AI38" s="85" t="s">
        <v>23</v>
      </c>
      <c r="AJ38" s="60"/>
      <c r="AK38" s="83" t="s">
        <v>88</v>
      </c>
      <c r="AL38" s="338" t="s">
        <v>209</v>
      </c>
      <c r="AM38" s="85" t="s">
        <v>23</v>
      </c>
      <c r="AN38" s="60"/>
      <c r="AO38" s="83" t="s">
        <v>88</v>
      </c>
      <c r="AP38" s="338" t="s">
        <v>209</v>
      </c>
      <c r="AQ38" s="85" t="s">
        <v>23</v>
      </c>
      <c r="AR38" s="52">
        <v>1</v>
      </c>
      <c r="AS38" s="83" t="s">
        <v>88</v>
      </c>
      <c r="AT38" s="338" t="s">
        <v>209</v>
      </c>
      <c r="AU38" s="85" t="s">
        <v>23</v>
      </c>
      <c r="AV38" s="52">
        <v>8</v>
      </c>
      <c r="AW38" s="83" t="s">
        <v>88</v>
      </c>
      <c r="AX38" s="338" t="s">
        <v>209</v>
      </c>
      <c r="AY38" s="85" t="s">
        <v>23</v>
      </c>
      <c r="AZ38" s="60"/>
      <c r="BA38" s="83" t="s">
        <v>88</v>
      </c>
      <c r="BB38" s="338" t="s">
        <v>209</v>
      </c>
      <c r="BC38" s="85" t="s">
        <v>23</v>
      </c>
      <c r="BD38" s="60"/>
      <c r="BE38" s="83" t="s">
        <v>88</v>
      </c>
      <c r="BF38" s="338" t="s">
        <v>209</v>
      </c>
      <c r="BG38" s="85" t="s">
        <v>23</v>
      </c>
      <c r="BH38" s="60"/>
      <c r="BI38" s="83" t="s">
        <v>88</v>
      </c>
      <c r="BJ38" s="338" t="s">
        <v>209</v>
      </c>
      <c r="BK38" s="85" t="s">
        <v>23</v>
      </c>
      <c r="BL38" s="52">
        <v>6</v>
      </c>
      <c r="BM38" s="83" t="s">
        <v>88</v>
      </c>
      <c r="BN38" s="338" t="s">
        <v>209</v>
      </c>
      <c r="BO38" s="85" t="s">
        <v>23</v>
      </c>
      <c r="BP38" s="60"/>
      <c r="BQ38" s="83" t="s">
        <v>88</v>
      </c>
      <c r="BR38" s="338" t="s">
        <v>209</v>
      </c>
      <c r="BS38" s="85" t="s">
        <v>23</v>
      </c>
      <c r="BT38" s="153"/>
      <c r="BU38" s="83" t="s">
        <v>88</v>
      </c>
      <c r="BV38" s="338" t="s">
        <v>209</v>
      </c>
      <c r="BW38" s="85" t="s">
        <v>23</v>
      </c>
      <c r="BX38" s="60"/>
      <c r="BY38" s="253"/>
      <c r="BZ38" s="83" t="s">
        <v>88</v>
      </c>
      <c r="CA38" s="338" t="s">
        <v>209</v>
      </c>
      <c r="CB38" s="85" t="s">
        <v>23</v>
      </c>
      <c r="CC38" s="60"/>
    </row>
    <row r="39" spans="1:81" s="69" customFormat="1" ht="15" customHeight="1">
      <c r="A39" s="83" t="s">
        <v>164</v>
      </c>
      <c r="B39" s="338" t="s">
        <v>24</v>
      </c>
      <c r="C39" s="85" t="s">
        <v>13</v>
      </c>
      <c r="D39" s="68">
        <f t="shared" si="0"/>
        <v>0.036000000000000004</v>
      </c>
      <c r="E39" s="68" t="e">
        <f>#REF!+#REF!+#REF!+#REF!+#REF!+#REF!+#REF!+#REF!+#REF!+#REF!+#REF!+#REF!+#REF!+#REF!+#REF!+#REF!+#REF!+#REF!</f>
        <v>#REF!</v>
      </c>
      <c r="F39" s="77" t="e">
        <f>#REF!+#REF!+#REF!+#REF!+#REF!+#REF!+#REF!+#REF!+#REF!+#REF!+#REF!+#REF!+#REF!+#REF!+#REF!+#REF!+#REF!+#REF!</f>
        <v>#REF!</v>
      </c>
      <c r="G39" s="366"/>
      <c r="I39" s="83" t="s">
        <v>164</v>
      </c>
      <c r="J39" s="338" t="s">
        <v>24</v>
      </c>
      <c r="K39" s="85" t="s">
        <v>13</v>
      </c>
      <c r="L39" s="732">
        <v>0.006</v>
      </c>
      <c r="M39" s="83" t="s">
        <v>164</v>
      </c>
      <c r="N39" s="338" t="s">
        <v>24</v>
      </c>
      <c r="O39" s="85" t="s">
        <v>13</v>
      </c>
      <c r="P39" s="68"/>
      <c r="Q39" s="83" t="s">
        <v>164</v>
      </c>
      <c r="R39" s="338" t="s">
        <v>24</v>
      </c>
      <c r="S39" s="85" t="s">
        <v>13</v>
      </c>
      <c r="T39" s="68"/>
      <c r="U39" s="83" t="s">
        <v>164</v>
      </c>
      <c r="V39" s="338" t="s">
        <v>24</v>
      </c>
      <c r="W39" s="85" t="s">
        <v>13</v>
      </c>
      <c r="X39" s="68"/>
      <c r="Y39" s="83" t="s">
        <v>164</v>
      </c>
      <c r="Z39" s="338" t="s">
        <v>24</v>
      </c>
      <c r="AA39" s="85" t="s">
        <v>13</v>
      </c>
      <c r="AB39" s="68"/>
      <c r="AC39" s="83" t="s">
        <v>164</v>
      </c>
      <c r="AD39" s="338" t="s">
        <v>24</v>
      </c>
      <c r="AE39" s="85" t="s">
        <v>13</v>
      </c>
      <c r="AF39" s="68"/>
      <c r="AG39" s="83" t="s">
        <v>164</v>
      </c>
      <c r="AH39" s="338" t="s">
        <v>24</v>
      </c>
      <c r="AI39" s="85" t="s">
        <v>13</v>
      </c>
      <c r="AJ39" s="68"/>
      <c r="AK39" s="83" t="s">
        <v>164</v>
      </c>
      <c r="AL39" s="338" t="s">
        <v>24</v>
      </c>
      <c r="AM39" s="85" t="s">
        <v>13</v>
      </c>
      <c r="AN39" s="68"/>
      <c r="AO39" s="83" t="s">
        <v>164</v>
      </c>
      <c r="AP39" s="338" t="s">
        <v>24</v>
      </c>
      <c r="AQ39" s="85" t="s">
        <v>13</v>
      </c>
      <c r="AR39" s="68"/>
      <c r="AS39" s="83" t="s">
        <v>164</v>
      </c>
      <c r="AT39" s="338" t="s">
        <v>24</v>
      </c>
      <c r="AU39" s="85" t="s">
        <v>13</v>
      </c>
      <c r="AV39" s="68">
        <v>0.01</v>
      </c>
      <c r="AW39" s="83" t="s">
        <v>164</v>
      </c>
      <c r="AX39" s="338" t="s">
        <v>24</v>
      </c>
      <c r="AY39" s="85" t="s">
        <v>13</v>
      </c>
      <c r="AZ39" s="68">
        <v>0.02</v>
      </c>
      <c r="BA39" s="83" t="s">
        <v>164</v>
      </c>
      <c r="BB39" s="338" t="s">
        <v>24</v>
      </c>
      <c r="BC39" s="85" t="s">
        <v>13</v>
      </c>
      <c r="BD39" s="68"/>
      <c r="BE39" s="83" t="s">
        <v>164</v>
      </c>
      <c r="BF39" s="338" t="s">
        <v>24</v>
      </c>
      <c r="BG39" s="85" t="s">
        <v>13</v>
      </c>
      <c r="BH39" s="68"/>
      <c r="BI39" s="83" t="s">
        <v>164</v>
      </c>
      <c r="BJ39" s="338" t="s">
        <v>24</v>
      </c>
      <c r="BK39" s="85" t="s">
        <v>13</v>
      </c>
      <c r="BL39" s="68"/>
      <c r="BM39" s="83" t="s">
        <v>164</v>
      </c>
      <c r="BN39" s="338" t="s">
        <v>24</v>
      </c>
      <c r="BO39" s="85" t="s">
        <v>13</v>
      </c>
      <c r="BP39" s="68"/>
      <c r="BQ39" s="83" t="s">
        <v>164</v>
      </c>
      <c r="BR39" s="338" t="s">
        <v>24</v>
      </c>
      <c r="BS39" s="85" t="s">
        <v>13</v>
      </c>
      <c r="BT39" s="367"/>
      <c r="BU39" s="83" t="s">
        <v>164</v>
      </c>
      <c r="BV39" s="338" t="s">
        <v>24</v>
      </c>
      <c r="BW39" s="85" t="s">
        <v>13</v>
      </c>
      <c r="BX39" s="68"/>
      <c r="BY39" s="255"/>
      <c r="BZ39" s="83" t="s">
        <v>164</v>
      </c>
      <c r="CA39" s="338" t="s">
        <v>24</v>
      </c>
      <c r="CB39" s="85" t="s">
        <v>13</v>
      </c>
      <c r="CC39" s="68"/>
    </row>
    <row r="40" spans="1:81" ht="15" customHeight="1">
      <c r="A40" s="83" t="s">
        <v>165</v>
      </c>
      <c r="B40" s="338" t="s">
        <v>327</v>
      </c>
      <c r="C40" s="339" t="s">
        <v>13</v>
      </c>
      <c r="D40" s="68">
        <f t="shared" si="0"/>
        <v>0.2</v>
      </c>
      <c r="E40" s="68" t="e">
        <f>#REF!+#REF!+#REF!+#REF!+#REF!+#REF!+#REF!+#REF!+#REF!+#REF!+#REF!+#REF!+#REF!+#REF!+#REF!+#REF!+#REF!+#REF!</f>
        <v>#REF!</v>
      </c>
      <c r="F40" s="77" t="e">
        <f>#REF!+#REF!+#REF!+#REF!+#REF!+#REF!+#REF!+#REF!+#REF!+#REF!+#REF!+#REF!+#REF!+#REF!+#REF!+#REF!+#REF!+#REF!</f>
        <v>#REF!</v>
      </c>
      <c r="G40" s="259"/>
      <c r="I40" s="83" t="s">
        <v>165</v>
      </c>
      <c r="J40" s="338" t="s">
        <v>327</v>
      </c>
      <c r="K40" s="339" t="s">
        <v>13</v>
      </c>
      <c r="L40" s="731"/>
      <c r="M40" s="83" t="s">
        <v>165</v>
      </c>
      <c r="N40" s="338" t="s">
        <v>327</v>
      </c>
      <c r="O40" s="339" t="s">
        <v>13</v>
      </c>
      <c r="P40" s="60"/>
      <c r="Q40" s="83" t="s">
        <v>165</v>
      </c>
      <c r="R40" s="338" t="s">
        <v>327</v>
      </c>
      <c r="S40" s="339" t="s">
        <v>13</v>
      </c>
      <c r="T40" s="60"/>
      <c r="U40" s="83" t="s">
        <v>165</v>
      </c>
      <c r="V40" s="338" t="s">
        <v>327</v>
      </c>
      <c r="W40" s="339" t="s">
        <v>13</v>
      </c>
      <c r="X40" s="656">
        <v>0.1</v>
      </c>
      <c r="Y40" s="83" t="s">
        <v>165</v>
      </c>
      <c r="Z40" s="338" t="s">
        <v>327</v>
      </c>
      <c r="AA40" s="339" t="s">
        <v>13</v>
      </c>
      <c r="AB40" s="60"/>
      <c r="AC40" s="83" t="s">
        <v>165</v>
      </c>
      <c r="AD40" s="338" t="s">
        <v>327</v>
      </c>
      <c r="AE40" s="339" t="s">
        <v>13</v>
      </c>
      <c r="AF40" s="60"/>
      <c r="AG40" s="83" t="s">
        <v>165</v>
      </c>
      <c r="AH40" s="338" t="s">
        <v>327</v>
      </c>
      <c r="AI40" s="339" t="s">
        <v>13</v>
      </c>
      <c r="AJ40" s="60"/>
      <c r="AK40" s="83" t="s">
        <v>165</v>
      </c>
      <c r="AL40" s="338" t="s">
        <v>327</v>
      </c>
      <c r="AM40" s="339" t="s">
        <v>13</v>
      </c>
      <c r="AN40" s="60"/>
      <c r="AO40" s="83" t="s">
        <v>165</v>
      </c>
      <c r="AP40" s="338" t="s">
        <v>327</v>
      </c>
      <c r="AQ40" s="339" t="s">
        <v>13</v>
      </c>
      <c r="AR40" s="60"/>
      <c r="AS40" s="83" t="s">
        <v>165</v>
      </c>
      <c r="AT40" s="338" t="s">
        <v>327</v>
      </c>
      <c r="AU40" s="339" t="s">
        <v>13</v>
      </c>
      <c r="AV40" s="60"/>
      <c r="AW40" s="83" t="s">
        <v>165</v>
      </c>
      <c r="AX40" s="338" t="s">
        <v>327</v>
      </c>
      <c r="AY40" s="339" t="s">
        <v>13</v>
      </c>
      <c r="AZ40" s="60"/>
      <c r="BA40" s="83" t="s">
        <v>165</v>
      </c>
      <c r="BB40" s="338" t="s">
        <v>327</v>
      </c>
      <c r="BC40" s="339" t="s">
        <v>13</v>
      </c>
      <c r="BD40" s="656">
        <v>0.1</v>
      </c>
      <c r="BE40" s="83" t="s">
        <v>165</v>
      </c>
      <c r="BF40" s="338" t="s">
        <v>327</v>
      </c>
      <c r="BG40" s="339" t="s">
        <v>13</v>
      </c>
      <c r="BH40" s="60"/>
      <c r="BI40" s="83" t="s">
        <v>165</v>
      </c>
      <c r="BJ40" s="338" t="s">
        <v>327</v>
      </c>
      <c r="BK40" s="339" t="s">
        <v>13</v>
      </c>
      <c r="BL40" s="60"/>
      <c r="BM40" s="83" t="s">
        <v>165</v>
      </c>
      <c r="BN40" s="338" t="s">
        <v>327</v>
      </c>
      <c r="BO40" s="339" t="s">
        <v>13</v>
      </c>
      <c r="BP40" s="60"/>
      <c r="BQ40" s="83" t="s">
        <v>165</v>
      </c>
      <c r="BR40" s="338" t="s">
        <v>327</v>
      </c>
      <c r="BS40" s="339" t="s">
        <v>13</v>
      </c>
      <c r="BT40" s="153"/>
      <c r="BU40" s="83" t="s">
        <v>165</v>
      </c>
      <c r="BV40" s="338" t="s">
        <v>327</v>
      </c>
      <c r="BW40" s="339" t="s">
        <v>13</v>
      </c>
      <c r="BX40" s="60"/>
      <c r="BY40" s="253"/>
      <c r="BZ40" s="83" t="s">
        <v>165</v>
      </c>
      <c r="CA40" s="338" t="s">
        <v>327</v>
      </c>
      <c r="CB40" s="339" t="s">
        <v>13</v>
      </c>
      <c r="CC40" s="60"/>
    </row>
    <row r="41" spans="1:81" ht="15" customHeight="1">
      <c r="A41" s="83" t="s">
        <v>166</v>
      </c>
      <c r="B41" s="338" t="s">
        <v>328</v>
      </c>
      <c r="C41" s="339" t="s">
        <v>13</v>
      </c>
      <c r="D41" s="68">
        <f t="shared" si="0"/>
        <v>0.43499999999999994</v>
      </c>
      <c r="E41" s="68" t="e">
        <f>#REF!+#REF!+#REF!+#REF!+#REF!+#REF!+#REF!+#REF!+#REF!+#REF!+#REF!+#REF!+#REF!+#REF!+#REF!+#REF!+#REF!+#REF!</f>
        <v>#REF!</v>
      </c>
      <c r="F41" s="77" t="e">
        <f>#REF!+#REF!+#REF!+#REF!+#REF!+#REF!+#REF!+#REF!+#REF!+#REF!+#REF!+#REF!+#REF!+#REF!+#REF!+#REF!+#REF!+#REF!</f>
        <v>#REF!</v>
      </c>
      <c r="G41" s="259"/>
      <c r="I41" s="83" t="s">
        <v>166</v>
      </c>
      <c r="J41" s="338" t="s">
        <v>328</v>
      </c>
      <c r="K41" s="339" t="s">
        <v>13</v>
      </c>
      <c r="L41" s="731"/>
      <c r="M41" s="83" t="s">
        <v>166</v>
      </c>
      <c r="N41" s="338" t="s">
        <v>328</v>
      </c>
      <c r="O41" s="339" t="s">
        <v>13</v>
      </c>
      <c r="P41" s="60"/>
      <c r="Q41" s="83" t="s">
        <v>166</v>
      </c>
      <c r="R41" s="338" t="s">
        <v>328</v>
      </c>
      <c r="S41" s="339" t="s">
        <v>13</v>
      </c>
      <c r="T41" s="60"/>
      <c r="U41" s="83" t="s">
        <v>166</v>
      </c>
      <c r="V41" s="338" t="s">
        <v>328</v>
      </c>
      <c r="W41" s="339" t="s">
        <v>13</v>
      </c>
      <c r="X41" s="60">
        <v>0.145</v>
      </c>
      <c r="Y41" s="83" t="s">
        <v>166</v>
      </c>
      <c r="Z41" s="338" t="s">
        <v>328</v>
      </c>
      <c r="AA41" s="339" t="s">
        <v>13</v>
      </c>
      <c r="AB41" s="60"/>
      <c r="AC41" s="83" t="s">
        <v>166</v>
      </c>
      <c r="AD41" s="338" t="s">
        <v>328</v>
      </c>
      <c r="AE41" s="339" t="s">
        <v>13</v>
      </c>
      <c r="AF41" s="60"/>
      <c r="AG41" s="83" t="s">
        <v>166</v>
      </c>
      <c r="AH41" s="338" t="s">
        <v>328</v>
      </c>
      <c r="AI41" s="339" t="s">
        <v>13</v>
      </c>
      <c r="AJ41" s="60"/>
      <c r="AK41" s="83" t="s">
        <v>166</v>
      </c>
      <c r="AL41" s="338" t="s">
        <v>328</v>
      </c>
      <c r="AM41" s="339" t="s">
        <v>13</v>
      </c>
      <c r="AN41" s="60"/>
      <c r="AO41" s="83" t="s">
        <v>166</v>
      </c>
      <c r="AP41" s="338" t="s">
        <v>328</v>
      </c>
      <c r="AQ41" s="339" t="s">
        <v>13</v>
      </c>
      <c r="AR41" s="60"/>
      <c r="AS41" s="83" t="s">
        <v>166</v>
      </c>
      <c r="AT41" s="338" t="s">
        <v>328</v>
      </c>
      <c r="AU41" s="339" t="s">
        <v>13</v>
      </c>
      <c r="AV41" s="60"/>
      <c r="AW41" s="83" t="s">
        <v>166</v>
      </c>
      <c r="AX41" s="338" t="s">
        <v>328</v>
      </c>
      <c r="AY41" s="339" t="s">
        <v>13</v>
      </c>
      <c r="AZ41" s="60"/>
      <c r="BA41" s="83" t="s">
        <v>166</v>
      </c>
      <c r="BB41" s="338" t="s">
        <v>328</v>
      </c>
      <c r="BC41" s="339" t="s">
        <v>13</v>
      </c>
      <c r="BD41" s="60">
        <v>0.145</v>
      </c>
      <c r="BE41" s="83" t="s">
        <v>166</v>
      </c>
      <c r="BF41" s="338" t="s">
        <v>328</v>
      </c>
      <c r="BG41" s="339" t="s">
        <v>13</v>
      </c>
      <c r="BH41" s="60"/>
      <c r="BI41" s="83" t="s">
        <v>166</v>
      </c>
      <c r="BJ41" s="338" t="s">
        <v>328</v>
      </c>
      <c r="BK41" s="339" t="s">
        <v>13</v>
      </c>
      <c r="BL41" s="60">
        <v>0.145</v>
      </c>
      <c r="BM41" s="83" t="s">
        <v>166</v>
      </c>
      <c r="BN41" s="338" t="s">
        <v>328</v>
      </c>
      <c r="BO41" s="339" t="s">
        <v>13</v>
      </c>
      <c r="BP41" s="60"/>
      <c r="BQ41" s="83" t="s">
        <v>166</v>
      </c>
      <c r="BR41" s="338" t="s">
        <v>328</v>
      </c>
      <c r="BS41" s="339" t="s">
        <v>13</v>
      </c>
      <c r="BT41" s="153"/>
      <c r="BU41" s="83" t="s">
        <v>166</v>
      </c>
      <c r="BV41" s="338" t="s">
        <v>328</v>
      </c>
      <c r="BW41" s="339" t="s">
        <v>13</v>
      </c>
      <c r="BX41" s="60"/>
      <c r="BY41" s="253"/>
      <c r="BZ41" s="83" t="s">
        <v>166</v>
      </c>
      <c r="CA41" s="338" t="s">
        <v>328</v>
      </c>
      <c r="CB41" s="339" t="s">
        <v>13</v>
      </c>
      <c r="CC41" s="60"/>
    </row>
    <row r="42" spans="1:81" ht="15" customHeight="1">
      <c r="A42" s="141" t="s">
        <v>167</v>
      </c>
      <c r="B42" s="368" t="s">
        <v>329</v>
      </c>
      <c r="C42" s="363" t="s">
        <v>13</v>
      </c>
      <c r="D42" s="68">
        <f t="shared" si="0"/>
        <v>0.011</v>
      </c>
      <c r="E42" s="68" t="e">
        <f>#REF!+#REF!+#REF!+#REF!+#REF!+#REF!+#REF!+#REF!+#REF!+#REF!+#REF!+#REF!+#REF!+#REF!+#REF!+#REF!+#REF!+#REF!</f>
        <v>#REF!</v>
      </c>
      <c r="F42" s="77" t="e">
        <f>#REF!+#REF!+#REF!+#REF!+#REF!+#REF!+#REF!+#REF!+#REF!+#REF!+#REF!+#REF!+#REF!+#REF!+#REF!+#REF!+#REF!+#REF!</f>
        <v>#REF!</v>
      </c>
      <c r="G42" s="259"/>
      <c r="I42" s="141" t="s">
        <v>167</v>
      </c>
      <c r="J42" s="368" t="s">
        <v>329</v>
      </c>
      <c r="K42" s="363" t="s">
        <v>13</v>
      </c>
      <c r="L42" s="731"/>
      <c r="M42" s="141" t="s">
        <v>167</v>
      </c>
      <c r="N42" s="368" t="s">
        <v>329</v>
      </c>
      <c r="O42" s="363" t="s">
        <v>13</v>
      </c>
      <c r="P42" s="60"/>
      <c r="Q42" s="141" t="s">
        <v>167</v>
      </c>
      <c r="R42" s="368" t="s">
        <v>329</v>
      </c>
      <c r="S42" s="363" t="s">
        <v>13</v>
      </c>
      <c r="T42" s="60"/>
      <c r="U42" s="141" t="s">
        <v>167</v>
      </c>
      <c r="V42" s="368" t="s">
        <v>329</v>
      </c>
      <c r="W42" s="363" t="s">
        <v>13</v>
      </c>
      <c r="X42" s="60">
        <v>0.003</v>
      </c>
      <c r="Y42" s="141" t="s">
        <v>167</v>
      </c>
      <c r="Z42" s="368" t="s">
        <v>329</v>
      </c>
      <c r="AA42" s="363" t="s">
        <v>13</v>
      </c>
      <c r="AB42" s="60"/>
      <c r="AC42" s="141" t="s">
        <v>167</v>
      </c>
      <c r="AD42" s="368" t="s">
        <v>329</v>
      </c>
      <c r="AE42" s="363" t="s">
        <v>13</v>
      </c>
      <c r="AF42" s="60"/>
      <c r="AG42" s="141" t="s">
        <v>167</v>
      </c>
      <c r="AH42" s="368" t="s">
        <v>329</v>
      </c>
      <c r="AI42" s="363" t="s">
        <v>13</v>
      </c>
      <c r="AJ42" s="60"/>
      <c r="AK42" s="141" t="s">
        <v>167</v>
      </c>
      <c r="AL42" s="368" t="s">
        <v>329</v>
      </c>
      <c r="AM42" s="363" t="s">
        <v>13</v>
      </c>
      <c r="AN42" s="60"/>
      <c r="AO42" s="141" t="s">
        <v>167</v>
      </c>
      <c r="AP42" s="368" t="s">
        <v>329</v>
      </c>
      <c r="AQ42" s="363" t="s">
        <v>13</v>
      </c>
      <c r="AR42" s="60"/>
      <c r="AS42" s="141" t="s">
        <v>167</v>
      </c>
      <c r="AT42" s="368" t="s">
        <v>329</v>
      </c>
      <c r="AU42" s="363" t="s">
        <v>13</v>
      </c>
      <c r="AV42" s="60"/>
      <c r="AW42" s="141" t="s">
        <v>167</v>
      </c>
      <c r="AX42" s="368" t="s">
        <v>329</v>
      </c>
      <c r="AY42" s="363" t="s">
        <v>13</v>
      </c>
      <c r="AZ42" s="60"/>
      <c r="BA42" s="141" t="s">
        <v>167</v>
      </c>
      <c r="BB42" s="368" t="s">
        <v>329</v>
      </c>
      <c r="BC42" s="363" t="s">
        <v>13</v>
      </c>
      <c r="BD42" s="60">
        <v>0.002</v>
      </c>
      <c r="BE42" s="141" t="s">
        <v>167</v>
      </c>
      <c r="BF42" s="368" t="s">
        <v>329</v>
      </c>
      <c r="BG42" s="363" t="s">
        <v>13</v>
      </c>
      <c r="BH42" s="60">
        <v>0.006</v>
      </c>
      <c r="BI42" s="141" t="s">
        <v>167</v>
      </c>
      <c r="BJ42" s="368" t="s">
        <v>329</v>
      </c>
      <c r="BK42" s="363" t="s">
        <v>13</v>
      </c>
      <c r="BL42" s="60"/>
      <c r="BM42" s="141" t="s">
        <v>167</v>
      </c>
      <c r="BN42" s="368" t="s">
        <v>329</v>
      </c>
      <c r="BO42" s="363" t="s">
        <v>13</v>
      </c>
      <c r="BP42" s="60"/>
      <c r="BQ42" s="141" t="s">
        <v>167</v>
      </c>
      <c r="BR42" s="368" t="s">
        <v>329</v>
      </c>
      <c r="BS42" s="363" t="s">
        <v>13</v>
      </c>
      <c r="BT42" s="153"/>
      <c r="BU42" s="141" t="s">
        <v>167</v>
      </c>
      <c r="BV42" s="368" t="s">
        <v>329</v>
      </c>
      <c r="BW42" s="363" t="s">
        <v>13</v>
      </c>
      <c r="BX42" s="60"/>
      <c r="BY42" s="253"/>
      <c r="BZ42" s="141" t="s">
        <v>167</v>
      </c>
      <c r="CA42" s="368" t="s">
        <v>329</v>
      </c>
      <c r="CB42" s="363" t="s">
        <v>13</v>
      </c>
      <c r="CC42" s="60"/>
    </row>
    <row r="43" spans="1:81" ht="15" customHeight="1">
      <c r="A43" s="83" t="s">
        <v>168</v>
      </c>
      <c r="B43" s="338" t="s">
        <v>74</v>
      </c>
      <c r="C43" s="85" t="s">
        <v>13</v>
      </c>
      <c r="D43" s="68">
        <f t="shared" si="0"/>
        <v>0.039</v>
      </c>
      <c r="E43" s="68" t="e">
        <f>#REF!+#REF!+#REF!+#REF!+#REF!+#REF!+#REF!+#REF!+#REF!+#REF!+#REF!+#REF!+#REF!+#REF!+#REF!+#REF!+#REF!+#REF!</f>
        <v>#REF!</v>
      </c>
      <c r="F43" s="77" t="e">
        <f>#REF!+#REF!+#REF!+#REF!+#REF!+#REF!+#REF!+#REF!+#REF!+#REF!+#REF!+#REF!+#REF!+#REF!+#REF!+#REF!+#REF!+#REF!</f>
        <v>#REF!</v>
      </c>
      <c r="G43" s="259"/>
      <c r="I43" s="83" t="s">
        <v>168</v>
      </c>
      <c r="J43" s="338" t="s">
        <v>74</v>
      </c>
      <c r="K43" s="85" t="s">
        <v>13</v>
      </c>
      <c r="L43" s="731"/>
      <c r="M43" s="83" t="s">
        <v>168</v>
      </c>
      <c r="N43" s="338" t="s">
        <v>74</v>
      </c>
      <c r="O43" s="85" t="s">
        <v>13</v>
      </c>
      <c r="P43" s="60"/>
      <c r="Q43" s="83" t="s">
        <v>168</v>
      </c>
      <c r="R43" s="338" t="s">
        <v>74</v>
      </c>
      <c r="S43" s="85" t="s">
        <v>13</v>
      </c>
      <c r="T43" s="60"/>
      <c r="U43" s="83" t="s">
        <v>168</v>
      </c>
      <c r="V43" s="338" t="s">
        <v>74</v>
      </c>
      <c r="W43" s="85" t="s">
        <v>13</v>
      </c>
      <c r="X43" s="60"/>
      <c r="Y43" s="83" t="s">
        <v>168</v>
      </c>
      <c r="Z43" s="338" t="s">
        <v>74</v>
      </c>
      <c r="AA43" s="85" t="s">
        <v>13</v>
      </c>
      <c r="AB43" s="60"/>
      <c r="AC43" s="83" t="s">
        <v>168</v>
      </c>
      <c r="AD43" s="338" t="s">
        <v>74</v>
      </c>
      <c r="AE43" s="85" t="s">
        <v>13</v>
      </c>
      <c r="AF43" s="60"/>
      <c r="AG43" s="83" t="s">
        <v>168</v>
      </c>
      <c r="AH43" s="338" t="s">
        <v>74</v>
      </c>
      <c r="AI43" s="85" t="s">
        <v>13</v>
      </c>
      <c r="AJ43" s="60"/>
      <c r="AK43" s="83" t="s">
        <v>168</v>
      </c>
      <c r="AL43" s="338" t="s">
        <v>74</v>
      </c>
      <c r="AM43" s="85" t="s">
        <v>13</v>
      </c>
      <c r="AN43" s="60">
        <v>0.015</v>
      </c>
      <c r="AO43" s="83" t="s">
        <v>168</v>
      </c>
      <c r="AP43" s="338" t="s">
        <v>74</v>
      </c>
      <c r="AQ43" s="85" t="s">
        <v>13</v>
      </c>
      <c r="AR43" s="60"/>
      <c r="AS43" s="83" t="s">
        <v>168</v>
      </c>
      <c r="AT43" s="338" t="s">
        <v>74</v>
      </c>
      <c r="AU43" s="85" t="s">
        <v>13</v>
      </c>
      <c r="AV43" s="60">
        <v>0.012</v>
      </c>
      <c r="AW43" s="83" t="s">
        <v>168</v>
      </c>
      <c r="AX43" s="338" t="s">
        <v>74</v>
      </c>
      <c r="AY43" s="85" t="s">
        <v>13</v>
      </c>
      <c r="AZ43" s="60">
        <v>0.012</v>
      </c>
      <c r="BA43" s="83" t="s">
        <v>168</v>
      </c>
      <c r="BB43" s="338" t="s">
        <v>74</v>
      </c>
      <c r="BC43" s="85" t="s">
        <v>13</v>
      </c>
      <c r="BD43" s="60"/>
      <c r="BE43" s="83" t="s">
        <v>168</v>
      </c>
      <c r="BF43" s="338" t="s">
        <v>74</v>
      </c>
      <c r="BG43" s="85" t="s">
        <v>13</v>
      </c>
      <c r="BH43" s="60"/>
      <c r="BI43" s="83" t="s">
        <v>168</v>
      </c>
      <c r="BJ43" s="338" t="s">
        <v>74</v>
      </c>
      <c r="BK43" s="85" t="s">
        <v>13</v>
      </c>
      <c r="BL43" s="60"/>
      <c r="BM43" s="83" t="s">
        <v>168</v>
      </c>
      <c r="BN43" s="338" t="s">
        <v>74</v>
      </c>
      <c r="BO43" s="85" t="s">
        <v>13</v>
      </c>
      <c r="BP43" s="60"/>
      <c r="BQ43" s="83" t="s">
        <v>168</v>
      </c>
      <c r="BR43" s="338" t="s">
        <v>74</v>
      </c>
      <c r="BS43" s="85" t="s">
        <v>13</v>
      </c>
      <c r="BT43" s="153"/>
      <c r="BU43" s="83" t="s">
        <v>168</v>
      </c>
      <c r="BV43" s="338" t="s">
        <v>74</v>
      </c>
      <c r="BW43" s="85" t="s">
        <v>13</v>
      </c>
      <c r="BX43" s="60"/>
      <c r="BY43" s="253"/>
      <c r="BZ43" s="83" t="s">
        <v>168</v>
      </c>
      <c r="CA43" s="338" t="s">
        <v>74</v>
      </c>
      <c r="CB43" s="85" t="s">
        <v>13</v>
      </c>
      <c r="CC43" s="60"/>
    </row>
    <row r="44" spans="1:81" ht="15" customHeight="1">
      <c r="A44" s="83" t="s">
        <v>169</v>
      </c>
      <c r="B44" s="84" t="s">
        <v>331</v>
      </c>
      <c r="C44" s="85" t="s">
        <v>10</v>
      </c>
      <c r="D44" s="381">
        <f t="shared" si="0"/>
        <v>23</v>
      </c>
      <c r="E44" s="68" t="e">
        <f>#REF!+#REF!+#REF!+#REF!+#REF!+#REF!+#REF!+#REF!+#REF!+#REF!+#REF!+#REF!+#REF!+#REF!+#REF!+#REF!+#REF!+#REF!</f>
        <v>#REF!</v>
      </c>
      <c r="F44" s="77" t="e">
        <f>#REF!+#REF!+#REF!+#REF!+#REF!+#REF!+#REF!+#REF!+#REF!+#REF!+#REF!+#REF!+#REF!+#REF!+#REF!+#REF!+#REF!+#REF!</f>
        <v>#REF!</v>
      </c>
      <c r="G44" s="259"/>
      <c r="I44" s="83" t="s">
        <v>169</v>
      </c>
      <c r="J44" s="84" t="s">
        <v>331</v>
      </c>
      <c r="K44" s="85" t="s">
        <v>10</v>
      </c>
      <c r="L44" s="52"/>
      <c r="M44" s="83" t="s">
        <v>169</v>
      </c>
      <c r="N44" s="84" t="s">
        <v>331</v>
      </c>
      <c r="O44" s="85" t="s">
        <v>10</v>
      </c>
      <c r="P44" s="52">
        <v>5</v>
      </c>
      <c r="Q44" s="83" t="s">
        <v>169</v>
      </c>
      <c r="R44" s="84" t="s">
        <v>331</v>
      </c>
      <c r="S44" s="85" t="s">
        <v>10</v>
      </c>
      <c r="T44" s="60"/>
      <c r="U44" s="83" t="s">
        <v>169</v>
      </c>
      <c r="V44" s="84" t="s">
        <v>331</v>
      </c>
      <c r="W44" s="85" t="s">
        <v>10</v>
      </c>
      <c r="X44" s="60"/>
      <c r="Y44" s="83" t="s">
        <v>169</v>
      </c>
      <c r="Z44" s="84" t="s">
        <v>331</v>
      </c>
      <c r="AA44" s="85" t="s">
        <v>10</v>
      </c>
      <c r="AB44" s="60"/>
      <c r="AC44" s="83" t="s">
        <v>169</v>
      </c>
      <c r="AD44" s="84" t="s">
        <v>331</v>
      </c>
      <c r="AE44" s="85" t="s">
        <v>10</v>
      </c>
      <c r="AF44" s="60"/>
      <c r="AG44" s="83" t="s">
        <v>169</v>
      </c>
      <c r="AH44" s="84" t="s">
        <v>331</v>
      </c>
      <c r="AI44" s="85" t="s">
        <v>10</v>
      </c>
      <c r="AJ44" s="52">
        <v>2</v>
      </c>
      <c r="AK44" s="83" t="s">
        <v>169</v>
      </c>
      <c r="AL44" s="84" t="s">
        <v>331</v>
      </c>
      <c r="AM44" s="85" t="s">
        <v>10</v>
      </c>
      <c r="AN44" s="52">
        <v>2</v>
      </c>
      <c r="AO44" s="83" t="s">
        <v>169</v>
      </c>
      <c r="AP44" s="84" t="s">
        <v>331</v>
      </c>
      <c r="AQ44" s="85" t="s">
        <v>10</v>
      </c>
      <c r="AR44" s="52">
        <v>6</v>
      </c>
      <c r="AS44" s="83" t="s">
        <v>169</v>
      </c>
      <c r="AT44" s="84" t="s">
        <v>331</v>
      </c>
      <c r="AU44" s="85" t="s">
        <v>10</v>
      </c>
      <c r="AV44" s="60"/>
      <c r="AW44" s="83" t="s">
        <v>169</v>
      </c>
      <c r="AX44" s="84" t="s">
        <v>331</v>
      </c>
      <c r="AY44" s="85" t="s">
        <v>10</v>
      </c>
      <c r="AZ44" s="60"/>
      <c r="BA44" s="83" t="s">
        <v>169</v>
      </c>
      <c r="BB44" s="84" t="s">
        <v>331</v>
      </c>
      <c r="BC44" s="85" t="s">
        <v>10</v>
      </c>
      <c r="BD44" s="52">
        <v>8</v>
      </c>
      <c r="BE44" s="83" t="s">
        <v>169</v>
      </c>
      <c r="BF44" s="84" t="s">
        <v>331</v>
      </c>
      <c r="BG44" s="85" t="s">
        <v>10</v>
      </c>
      <c r="BH44" s="60"/>
      <c r="BI44" s="83" t="s">
        <v>169</v>
      </c>
      <c r="BJ44" s="84" t="s">
        <v>331</v>
      </c>
      <c r="BK44" s="85" t="s">
        <v>10</v>
      </c>
      <c r="BL44" s="60"/>
      <c r="BM44" s="83" t="s">
        <v>169</v>
      </c>
      <c r="BN44" s="84" t="s">
        <v>331</v>
      </c>
      <c r="BO44" s="85" t="s">
        <v>10</v>
      </c>
      <c r="BP44" s="60"/>
      <c r="BQ44" s="83" t="s">
        <v>169</v>
      </c>
      <c r="BR44" s="84" t="s">
        <v>331</v>
      </c>
      <c r="BS44" s="85" t="s">
        <v>10</v>
      </c>
      <c r="BT44" s="153"/>
      <c r="BU44" s="83" t="s">
        <v>169</v>
      </c>
      <c r="BV44" s="84" t="s">
        <v>331</v>
      </c>
      <c r="BW44" s="85" t="s">
        <v>10</v>
      </c>
      <c r="BX44" s="60"/>
      <c r="BY44" s="253"/>
      <c r="BZ44" s="83" t="s">
        <v>169</v>
      </c>
      <c r="CA44" s="84" t="s">
        <v>331</v>
      </c>
      <c r="CB44" s="85" t="s">
        <v>10</v>
      </c>
      <c r="CC44" s="60"/>
    </row>
    <row r="45" spans="1:81" ht="15.75">
      <c r="A45" s="83" t="s">
        <v>170</v>
      </c>
      <c r="B45" s="84" t="s">
        <v>330</v>
      </c>
      <c r="C45" s="85" t="s">
        <v>10</v>
      </c>
      <c r="D45" s="381">
        <f t="shared" si="0"/>
        <v>14</v>
      </c>
      <c r="E45" s="68" t="e">
        <f>#REF!+#REF!+#REF!+#REF!+#REF!+#REF!+#REF!+#REF!+#REF!+#REF!+#REF!+#REF!+#REF!+#REF!+#REF!+#REF!+#REF!+#REF!</f>
        <v>#REF!</v>
      </c>
      <c r="F45" s="77" t="e">
        <f>#REF!+#REF!+#REF!+#REF!+#REF!+#REF!+#REF!+#REF!+#REF!+#REF!+#REF!+#REF!+#REF!+#REF!+#REF!+#REF!+#REF!+#REF!</f>
        <v>#REF!</v>
      </c>
      <c r="G45" s="259" t="e">
        <f>E45/D45*100</f>
        <v>#REF!</v>
      </c>
      <c r="I45" s="83" t="s">
        <v>170</v>
      </c>
      <c r="J45" s="84" t="s">
        <v>330</v>
      </c>
      <c r="K45" s="85" t="s">
        <v>10</v>
      </c>
      <c r="L45" s="52">
        <v>4</v>
      </c>
      <c r="M45" s="83" t="s">
        <v>170</v>
      </c>
      <c r="N45" s="84" t="s">
        <v>330</v>
      </c>
      <c r="O45" s="85" t="s">
        <v>10</v>
      </c>
      <c r="P45" s="60"/>
      <c r="Q45" s="83" t="s">
        <v>170</v>
      </c>
      <c r="R45" s="84" t="s">
        <v>330</v>
      </c>
      <c r="S45" s="85" t="s">
        <v>10</v>
      </c>
      <c r="T45" s="60"/>
      <c r="U45" s="83" t="s">
        <v>170</v>
      </c>
      <c r="V45" s="84" t="s">
        <v>330</v>
      </c>
      <c r="W45" s="85" t="s">
        <v>10</v>
      </c>
      <c r="X45" s="60"/>
      <c r="Y45" s="83" t="s">
        <v>170</v>
      </c>
      <c r="Z45" s="84" t="s">
        <v>330</v>
      </c>
      <c r="AA45" s="85" t="s">
        <v>10</v>
      </c>
      <c r="AB45" s="60"/>
      <c r="AC45" s="83" t="s">
        <v>170</v>
      </c>
      <c r="AD45" s="84" t="s">
        <v>330</v>
      </c>
      <c r="AE45" s="85" t="s">
        <v>10</v>
      </c>
      <c r="AF45" s="60"/>
      <c r="AG45" s="83" t="s">
        <v>170</v>
      </c>
      <c r="AH45" s="84" t="s">
        <v>330</v>
      </c>
      <c r="AI45" s="85" t="s">
        <v>10</v>
      </c>
      <c r="AJ45" s="52">
        <v>2</v>
      </c>
      <c r="AK45" s="83" t="s">
        <v>170</v>
      </c>
      <c r="AL45" s="84" t="s">
        <v>330</v>
      </c>
      <c r="AM45" s="85" t="s">
        <v>10</v>
      </c>
      <c r="AN45" s="52">
        <v>2</v>
      </c>
      <c r="AO45" s="83" t="s">
        <v>170</v>
      </c>
      <c r="AP45" s="84" t="s">
        <v>330</v>
      </c>
      <c r="AQ45" s="85" t="s">
        <v>10</v>
      </c>
      <c r="AR45" s="52">
        <v>6</v>
      </c>
      <c r="AS45" s="83" t="s">
        <v>170</v>
      </c>
      <c r="AT45" s="84" t="s">
        <v>330</v>
      </c>
      <c r="AU45" s="85" t="s">
        <v>10</v>
      </c>
      <c r="AV45" s="60"/>
      <c r="AW45" s="83" t="s">
        <v>170</v>
      </c>
      <c r="AX45" s="84" t="s">
        <v>330</v>
      </c>
      <c r="AY45" s="85" t="s">
        <v>10</v>
      </c>
      <c r="AZ45" s="60"/>
      <c r="BA45" s="83" t="s">
        <v>170</v>
      </c>
      <c r="BB45" s="84" t="s">
        <v>330</v>
      </c>
      <c r="BC45" s="85" t="s">
        <v>10</v>
      </c>
      <c r="BD45" s="60"/>
      <c r="BE45" s="83" t="s">
        <v>170</v>
      </c>
      <c r="BF45" s="84" t="s">
        <v>330</v>
      </c>
      <c r="BG45" s="85" t="s">
        <v>10</v>
      </c>
      <c r="BH45" s="60"/>
      <c r="BI45" s="83" t="s">
        <v>170</v>
      </c>
      <c r="BJ45" s="84" t="s">
        <v>330</v>
      </c>
      <c r="BK45" s="85" t="s">
        <v>10</v>
      </c>
      <c r="BL45" s="60"/>
      <c r="BM45" s="83" t="s">
        <v>170</v>
      </c>
      <c r="BN45" s="84" t="s">
        <v>330</v>
      </c>
      <c r="BO45" s="85" t="s">
        <v>10</v>
      </c>
      <c r="BP45" s="60"/>
      <c r="BQ45" s="83" t="s">
        <v>170</v>
      </c>
      <c r="BR45" s="84" t="s">
        <v>330</v>
      </c>
      <c r="BS45" s="85" t="s">
        <v>10</v>
      </c>
      <c r="BT45" s="153"/>
      <c r="BU45" s="83" t="s">
        <v>170</v>
      </c>
      <c r="BV45" s="84" t="s">
        <v>330</v>
      </c>
      <c r="BW45" s="85" t="s">
        <v>10</v>
      </c>
      <c r="BX45" s="60"/>
      <c r="BY45" s="280"/>
      <c r="BZ45" s="83" t="s">
        <v>170</v>
      </c>
      <c r="CA45" s="84" t="s">
        <v>330</v>
      </c>
      <c r="CB45" s="85" t="s">
        <v>10</v>
      </c>
      <c r="CC45" s="60"/>
    </row>
    <row r="46" spans="1:81" ht="15.75">
      <c r="A46" s="83" t="s">
        <v>171</v>
      </c>
      <c r="B46" s="84" t="s">
        <v>340</v>
      </c>
      <c r="C46" s="85" t="s">
        <v>10</v>
      </c>
      <c r="D46" s="381">
        <f t="shared" si="0"/>
        <v>41</v>
      </c>
      <c r="E46" s="68" t="e">
        <f>#REF!+#REF!+#REF!+#REF!+#REF!+#REF!+#REF!+#REF!+#REF!+#REF!+#REF!+#REF!+#REF!+#REF!+#REF!+#REF!+#REF!+#REF!</f>
        <v>#REF!</v>
      </c>
      <c r="F46" s="77" t="e">
        <f>#REF!+#REF!+#REF!+#REF!+#REF!+#REF!+#REF!+#REF!+#REF!+#REF!+#REF!+#REF!+#REF!+#REF!+#REF!+#REF!+#REF!+#REF!</f>
        <v>#REF!</v>
      </c>
      <c r="G46" s="259" t="e">
        <f>E46/D46*100</f>
        <v>#REF!</v>
      </c>
      <c r="I46" s="83" t="s">
        <v>171</v>
      </c>
      <c r="J46" s="84" t="s">
        <v>340</v>
      </c>
      <c r="K46" s="85" t="s">
        <v>10</v>
      </c>
      <c r="L46" s="52">
        <v>1</v>
      </c>
      <c r="M46" s="83" t="s">
        <v>171</v>
      </c>
      <c r="N46" s="84" t="s">
        <v>340</v>
      </c>
      <c r="O46" s="85" t="s">
        <v>10</v>
      </c>
      <c r="P46" s="60"/>
      <c r="Q46" s="83" t="s">
        <v>171</v>
      </c>
      <c r="R46" s="84" t="s">
        <v>340</v>
      </c>
      <c r="S46" s="85" t="s">
        <v>10</v>
      </c>
      <c r="T46" s="52">
        <v>2</v>
      </c>
      <c r="U46" s="83" t="s">
        <v>171</v>
      </c>
      <c r="V46" s="84" t="s">
        <v>340</v>
      </c>
      <c r="W46" s="85" t="s">
        <v>10</v>
      </c>
      <c r="X46" s="52">
        <v>3</v>
      </c>
      <c r="Y46" s="83" t="s">
        <v>171</v>
      </c>
      <c r="Z46" s="84" t="s">
        <v>340</v>
      </c>
      <c r="AA46" s="85" t="s">
        <v>10</v>
      </c>
      <c r="AB46" s="52">
        <v>7</v>
      </c>
      <c r="AC46" s="83" t="s">
        <v>171</v>
      </c>
      <c r="AD46" s="84" t="s">
        <v>340</v>
      </c>
      <c r="AE46" s="85" t="s">
        <v>10</v>
      </c>
      <c r="AF46" s="60"/>
      <c r="AG46" s="83" t="s">
        <v>171</v>
      </c>
      <c r="AH46" s="84" t="s">
        <v>340</v>
      </c>
      <c r="AI46" s="85" t="s">
        <v>10</v>
      </c>
      <c r="AJ46" s="60"/>
      <c r="AK46" s="83" t="s">
        <v>171</v>
      </c>
      <c r="AL46" s="84" t="s">
        <v>340</v>
      </c>
      <c r="AM46" s="85" t="s">
        <v>10</v>
      </c>
      <c r="AN46" s="60"/>
      <c r="AO46" s="83" t="s">
        <v>171</v>
      </c>
      <c r="AP46" s="84" t="s">
        <v>340</v>
      </c>
      <c r="AQ46" s="85" t="s">
        <v>10</v>
      </c>
      <c r="AR46" s="52">
        <v>4</v>
      </c>
      <c r="AS46" s="83" t="s">
        <v>171</v>
      </c>
      <c r="AT46" s="84" t="s">
        <v>340</v>
      </c>
      <c r="AU46" s="85" t="s">
        <v>10</v>
      </c>
      <c r="AV46" s="60"/>
      <c r="AW46" s="83" t="s">
        <v>171</v>
      </c>
      <c r="AX46" s="84" t="s">
        <v>340</v>
      </c>
      <c r="AY46" s="85" t="s">
        <v>10</v>
      </c>
      <c r="AZ46" s="52">
        <v>4</v>
      </c>
      <c r="BA46" s="83" t="s">
        <v>171</v>
      </c>
      <c r="BB46" s="84" t="s">
        <v>340</v>
      </c>
      <c r="BC46" s="85" t="s">
        <v>10</v>
      </c>
      <c r="BD46" s="52">
        <v>7</v>
      </c>
      <c r="BE46" s="83" t="s">
        <v>171</v>
      </c>
      <c r="BF46" s="84" t="s">
        <v>340</v>
      </c>
      <c r="BG46" s="85" t="s">
        <v>10</v>
      </c>
      <c r="BH46" s="52">
        <v>2</v>
      </c>
      <c r="BI46" s="83" t="s">
        <v>171</v>
      </c>
      <c r="BJ46" s="84" t="s">
        <v>340</v>
      </c>
      <c r="BK46" s="85" t="s">
        <v>10</v>
      </c>
      <c r="BL46" s="52">
        <v>2</v>
      </c>
      <c r="BM46" s="83" t="s">
        <v>171</v>
      </c>
      <c r="BN46" s="84" t="s">
        <v>340</v>
      </c>
      <c r="BO46" s="85" t="s">
        <v>10</v>
      </c>
      <c r="BP46" s="60"/>
      <c r="BQ46" s="83" t="s">
        <v>171</v>
      </c>
      <c r="BR46" s="84" t="s">
        <v>340</v>
      </c>
      <c r="BS46" s="85" t="s">
        <v>10</v>
      </c>
      <c r="BT46" s="154">
        <v>9</v>
      </c>
      <c r="BU46" s="83" t="s">
        <v>171</v>
      </c>
      <c r="BV46" s="84" t="s">
        <v>340</v>
      </c>
      <c r="BW46" s="85" t="s">
        <v>10</v>
      </c>
      <c r="BX46" s="60"/>
      <c r="BY46" s="253"/>
      <c r="BZ46" s="83" t="s">
        <v>171</v>
      </c>
      <c r="CA46" s="84" t="s">
        <v>340</v>
      </c>
      <c r="CB46" s="85" t="s">
        <v>10</v>
      </c>
      <c r="CC46" s="60"/>
    </row>
    <row r="47" spans="1:81" ht="15.75">
      <c r="A47" s="83" t="s">
        <v>172</v>
      </c>
      <c r="B47" s="84" t="s">
        <v>332</v>
      </c>
      <c r="C47" s="85" t="s">
        <v>10</v>
      </c>
      <c r="D47" s="52">
        <f t="shared" si="0"/>
        <v>13</v>
      </c>
      <c r="E47" s="68" t="e">
        <f>#REF!+#REF!+#REF!+#REF!+#REF!+#REF!+#REF!+#REF!+#REF!+#REF!+#REF!+#REF!+#REF!+#REF!+#REF!+#REF!+#REF!+#REF!</f>
        <v>#REF!</v>
      </c>
      <c r="F47" s="77" t="e">
        <f>#REF!+#REF!+#REF!+#REF!+#REF!+#REF!+#REF!+#REF!+#REF!+#REF!+#REF!+#REF!+#REF!+#REF!+#REF!+#REF!+#REF!+#REF!</f>
        <v>#REF!</v>
      </c>
      <c r="G47" s="259" t="e">
        <f>E47/D47*100</f>
        <v>#REF!</v>
      </c>
      <c r="I47" s="83" t="s">
        <v>172</v>
      </c>
      <c r="J47" s="84" t="s">
        <v>332</v>
      </c>
      <c r="K47" s="85" t="s">
        <v>10</v>
      </c>
      <c r="L47" s="52"/>
      <c r="M47" s="83" t="s">
        <v>172</v>
      </c>
      <c r="N47" s="84" t="s">
        <v>332</v>
      </c>
      <c r="O47" s="85" t="s">
        <v>10</v>
      </c>
      <c r="P47" s="52">
        <v>2</v>
      </c>
      <c r="Q47" s="83" t="s">
        <v>172</v>
      </c>
      <c r="R47" s="84" t="s">
        <v>332</v>
      </c>
      <c r="S47" s="85" t="s">
        <v>10</v>
      </c>
      <c r="T47" s="52"/>
      <c r="U47" s="83" t="s">
        <v>172</v>
      </c>
      <c r="V47" s="84" t="s">
        <v>332</v>
      </c>
      <c r="W47" s="85" t="s">
        <v>10</v>
      </c>
      <c r="X47" s="52">
        <v>2</v>
      </c>
      <c r="Y47" s="83" t="s">
        <v>172</v>
      </c>
      <c r="Z47" s="84" t="s">
        <v>332</v>
      </c>
      <c r="AA47" s="85" t="s">
        <v>10</v>
      </c>
      <c r="AB47" s="52">
        <v>1</v>
      </c>
      <c r="AC47" s="83" t="s">
        <v>172</v>
      </c>
      <c r="AD47" s="84" t="s">
        <v>332</v>
      </c>
      <c r="AE47" s="85" t="s">
        <v>10</v>
      </c>
      <c r="AF47" s="52"/>
      <c r="AG47" s="83" t="s">
        <v>172</v>
      </c>
      <c r="AH47" s="84" t="s">
        <v>332</v>
      </c>
      <c r="AI47" s="85" t="s">
        <v>10</v>
      </c>
      <c r="AJ47" s="52">
        <v>1</v>
      </c>
      <c r="AK47" s="83" t="s">
        <v>172</v>
      </c>
      <c r="AL47" s="84" t="s">
        <v>332</v>
      </c>
      <c r="AM47" s="85" t="s">
        <v>10</v>
      </c>
      <c r="AN47" s="52">
        <v>1</v>
      </c>
      <c r="AO47" s="83" t="s">
        <v>172</v>
      </c>
      <c r="AP47" s="84" t="s">
        <v>332</v>
      </c>
      <c r="AQ47" s="85" t="s">
        <v>10</v>
      </c>
      <c r="AR47" s="52"/>
      <c r="AS47" s="83" t="s">
        <v>172</v>
      </c>
      <c r="AT47" s="84" t="s">
        <v>332</v>
      </c>
      <c r="AU47" s="85" t="s">
        <v>10</v>
      </c>
      <c r="AV47" s="52"/>
      <c r="AW47" s="83" t="s">
        <v>172</v>
      </c>
      <c r="AX47" s="84" t="s">
        <v>332</v>
      </c>
      <c r="AY47" s="85" t="s">
        <v>10</v>
      </c>
      <c r="AZ47" s="52">
        <v>1</v>
      </c>
      <c r="BA47" s="83" t="s">
        <v>172</v>
      </c>
      <c r="BB47" s="84" t="s">
        <v>332</v>
      </c>
      <c r="BC47" s="85" t="s">
        <v>10</v>
      </c>
      <c r="BD47" s="52">
        <v>2</v>
      </c>
      <c r="BE47" s="83" t="s">
        <v>172</v>
      </c>
      <c r="BF47" s="84" t="s">
        <v>332</v>
      </c>
      <c r="BG47" s="85" t="s">
        <v>10</v>
      </c>
      <c r="BH47" s="52"/>
      <c r="BI47" s="83" t="s">
        <v>172</v>
      </c>
      <c r="BJ47" s="84" t="s">
        <v>332</v>
      </c>
      <c r="BK47" s="85" t="s">
        <v>10</v>
      </c>
      <c r="BL47" s="52">
        <v>1</v>
      </c>
      <c r="BM47" s="83" t="s">
        <v>172</v>
      </c>
      <c r="BN47" s="84" t="s">
        <v>332</v>
      </c>
      <c r="BO47" s="85" t="s">
        <v>10</v>
      </c>
      <c r="BP47" s="52"/>
      <c r="BQ47" s="83" t="s">
        <v>172</v>
      </c>
      <c r="BR47" s="84" t="s">
        <v>332</v>
      </c>
      <c r="BS47" s="85" t="s">
        <v>10</v>
      </c>
      <c r="BT47" s="154">
        <v>2</v>
      </c>
      <c r="BU47" s="83" t="s">
        <v>172</v>
      </c>
      <c r="BV47" s="84" t="s">
        <v>332</v>
      </c>
      <c r="BW47" s="85" t="s">
        <v>10</v>
      </c>
      <c r="BX47" s="52"/>
      <c r="BY47" s="253"/>
      <c r="BZ47" s="83" t="s">
        <v>172</v>
      </c>
      <c r="CA47" s="84" t="s">
        <v>332</v>
      </c>
      <c r="CB47" s="85" t="s">
        <v>10</v>
      </c>
      <c r="CC47" s="52"/>
    </row>
    <row r="48" spans="1:81" ht="15.75">
      <c r="A48" s="83" t="s">
        <v>89</v>
      </c>
      <c r="B48" s="338" t="s">
        <v>26</v>
      </c>
      <c r="C48" s="85" t="s">
        <v>25</v>
      </c>
      <c r="D48" s="60"/>
      <c r="E48" s="68" t="e">
        <f>#REF!+#REF!+#REF!+#REF!+#REF!+#REF!+#REF!+#REF!+#REF!+#REF!+#REF!+#REF!+#REF!+#REF!+#REF!+#REF!+#REF!+#REF!</f>
        <v>#REF!</v>
      </c>
      <c r="F48" s="77" t="e">
        <f>#REF!+#REF!+#REF!+#REF!+#REF!+#REF!+#REF!+#REF!+#REF!+#REF!+#REF!+#REF!+#REF!+#REF!+#REF!+#REF!+#REF!+#REF!</f>
        <v>#REF!</v>
      </c>
      <c r="G48" s="259"/>
      <c r="I48" s="83" t="s">
        <v>89</v>
      </c>
      <c r="J48" s="338" t="s">
        <v>26</v>
      </c>
      <c r="K48" s="85" t="s">
        <v>25</v>
      </c>
      <c r="L48" s="51"/>
      <c r="M48" s="83" t="s">
        <v>89</v>
      </c>
      <c r="N48" s="338" t="s">
        <v>26</v>
      </c>
      <c r="O48" s="85" t="s">
        <v>25</v>
      </c>
      <c r="P48" s="51"/>
      <c r="Q48" s="83" t="s">
        <v>89</v>
      </c>
      <c r="R48" s="338" t="s">
        <v>26</v>
      </c>
      <c r="S48" s="85" t="s">
        <v>25</v>
      </c>
      <c r="T48" s="51"/>
      <c r="U48" s="83" t="s">
        <v>89</v>
      </c>
      <c r="V48" s="338" t="s">
        <v>26</v>
      </c>
      <c r="W48" s="85" t="s">
        <v>25</v>
      </c>
      <c r="X48" s="51"/>
      <c r="Y48" s="83" t="s">
        <v>89</v>
      </c>
      <c r="Z48" s="338" t="s">
        <v>26</v>
      </c>
      <c r="AA48" s="85" t="s">
        <v>25</v>
      </c>
      <c r="AB48" s="51"/>
      <c r="AC48" s="83" t="s">
        <v>89</v>
      </c>
      <c r="AD48" s="338" t="s">
        <v>26</v>
      </c>
      <c r="AE48" s="85" t="s">
        <v>25</v>
      </c>
      <c r="AF48" s="51"/>
      <c r="AG48" s="83" t="s">
        <v>89</v>
      </c>
      <c r="AH48" s="338" t="s">
        <v>26</v>
      </c>
      <c r="AI48" s="85" t="s">
        <v>25</v>
      </c>
      <c r="AJ48" s="51"/>
      <c r="AK48" s="83" t="s">
        <v>89</v>
      </c>
      <c r="AL48" s="338" t="s">
        <v>26</v>
      </c>
      <c r="AM48" s="85" t="s">
        <v>25</v>
      </c>
      <c r="AN48" s="51"/>
      <c r="AO48" s="83" t="s">
        <v>89</v>
      </c>
      <c r="AP48" s="338" t="s">
        <v>26</v>
      </c>
      <c r="AQ48" s="85" t="s">
        <v>25</v>
      </c>
      <c r="AR48" s="51"/>
      <c r="AS48" s="83" t="s">
        <v>89</v>
      </c>
      <c r="AT48" s="338" t="s">
        <v>26</v>
      </c>
      <c r="AU48" s="85" t="s">
        <v>25</v>
      </c>
      <c r="AV48" s="51"/>
      <c r="AW48" s="83" t="s">
        <v>89</v>
      </c>
      <c r="AX48" s="338" t="s">
        <v>26</v>
      </c>
      <c r="AY48" s="85" t="s">
        <v>25</v>
      </c>
      <c r="AZ48" s="51"/>
      <c r="BA48" s="83" t="s">
        <v>89</v>
      </c>
      <c r="BB48" s="338" t="s">
        <v>26</v>
      </c>
      <c r="BC48" s="85" t="s">
        <v>25</v>
      </c>
      <c r="BD48" s="51"/>
      <c r="BE48" s="83" t="s">
        <v>89</v>
      </c>
      <c r="BF48" s="338" t="s">
        <v>26</v>
      </c>
      <c r="BG48" s="85" t="s">
        <v>25</v>
      </c>
      <c r="BH48" s="51"/>
      <c r="BI48" s="83" t="s">
        <v>89</v>
      </c>
      <c r="BJ48" s="338" t="s">
        <v>26</v>
      </c>
      <c r="BK48" s="85" t="s">
        <v>25</v>
      </c>
      <c r="BL48" s="51"/>
      <c r="BM48" s="83" t="s">
        <v>89</v>
      </c>
      <c r="BN48" s="338" t="s">
        <v>26</v>
      </c>
      <c r="BO48" s="85" t="s">
        <v>25</v>
      </c>
      <c r="BP48" s="51"/>
      <c r="BQ48" s="83" t="s">
        <v>89</v>
      </c>
      <c r="BR48" s="338" t="s">
        <v>26</v>
      </c>
      <c r="BS48" s="85" t="s">
        <v>25</v>
      </c>
      <c r="BT48" s="151"/>
      <c r="BU48" s="83" t="s">
        <v>89</v>
      </c>
      <c r="BV48" s="338" t="s">
        <v>26</v>
      </c>
      <c r="BW48" s="85" t="s">
        <v>25</v>
      </c>
      <c r="BX48" s="51"/>
      <c r="BY48" s="253"/>
      <c r="BZ48" s="83" t="s">
        <v>89</v>
      </c>
      <c r="CA48" s="338" t="s">
        <v>26</v>
      </c>
      <c r="CB48" s="85" t="s">
        <v>25</v>
      </c>
      <c r="CC48" s="51"/>
    </row>
    <row r="49" spans="1:81" ht="15" customHeight="1" hidden="1">
      <c r="A49" s="131" t="s">
        <v>173</v>
      </c>
      <c r="B49" s="371" t="s">
        <v>140</v>
      </c>
      <c r="C49" s="128" t="s">
        <v>256</v>
      </c>
      <c r="D49" s="60">
        <f>L49+P49+T49+X49+AB49+AF49+AJ49+AN49+AR49+AV49+AZ49+BD49+BH49+BL49+BP49+BT49+BX49</f>
        <v>0</v>
      </c>
      <c r="E49" s="68" t="e">
        <f>#REF!+#REF!+#REF!+#REF!+#REF!+#REF!+#REF!+#REF!+#REF!+#REF!+#REF!+#REF!+#REF!+#REF!+#REF!+#REF!+#REF!+#REF!</f>
        <v>#REF!</v>
      </c>
      <c r="F49" s="77" t="e">
        <f>#REF!+#REF!+#REF!+#REF!+#REF!+#REF!+#REF!+#REF!+#REF!+#REF!+#REF!+#REF!+#REF!+#REF!+#REF!+#REF!+#REF!+#REF!</f>
        <v>#REF!</v>
      </c>
      <c r="G49" s="260"/>
      <c r="I49" s="131" t="s">
        <v>173</v>
      </c>
      <c r="J49" s="371" t="s">
        <v>140</v>
      </c>
      <c r="K49" s="128" t="s">
        <v>256</v>
      </c>
      <c r="L49" s="51"/>
      <c r="M49" s="131" t="s">
        <v>173</v>
      </c>
      <c r="N49" s="371" t="s">
        <v>140</v>
      </c>
      <c r="O49" s="128" t="s">
        <v>256</v>
      </c>
      <c r="P49" s="51"/>
      <c r="Q49" s="131" t="s">
        <v>173</v>
      </c>
      <c r="R49" s="371" t="s">
        <v>140</v>
      </c>
      <c r="S49" s="128" t="s">
        <v>256</v>
      </c>
      <c r="T49" s="51"/>
      <c r="U49" s="131" t="s">
        <v>173</v>
      </c>
      <c r="V49" s="371" t="s">
        <v>140</v>
      </c>
      <c r="W49" s="128" t="s">
        <v>256</v>
      </c>
      <c r="X49" s="51"/>
      <c r="Y49" s="131" t="s">
        <v>173</v>
      </c>
      <c r="Z49" s="371" t="s">
        <v>140</v>
      </c>
      <c r="AA49" s="128" t="s">
        <v>256</v>
      </c>
      <c r="AB49" s="51"/>
      <c r="AC49" s="131" t="s">
        <v>173</v>
      </c>
      <c r="AD49" s="371" t="s">
        <v>140</v>
      </c>
      <c r="AE49" s="128" t="s">
        <v>256</v>
      </c>
      <c r="AF49" s="51"/>
      <c r="AG49" s="131" t="s">
        <v>173</v>
      </c>
      <c r="AH49" s="371" t="s">
        <v>140</v>
      </c>
      <c r="AI49" s="128" t="s">
        <v>256</v>
      </c>
      <c r="AJ49" s="51"/>
      <c r="AK49" s="131" t="s">
        <v>173</v>
      </c>
      <c r="AL49" s="371" t="s">
        <v>140</v>
      </c>
      <c r="AM49" s="128" t="s">
        <v>256</v>
      </c>
      <c r="AN49" s="51"/>
      <c r="AO49" s="131" t="s">
        <v>173</v>
      </c>
      <c r="AP49" s="371" t="s">
        <v>140</v>
      </c>
      <c r="AQ49" s="128" t="s">
        <v>256</v>
      </c>
      <c r="AR49" s="51"/>
      <c r="AS49" s="131" t="s">
        <v>173</v>
      </c>
      <c r="AT49" s="371" t="s">
        <v>140</v>
      </c>
      <c r="AU49" s="128" t="s">
        <v>256</v>
      </c>
      <c r="AV49" s="51"/>
      <c r="AW49" s="131" t="s">
        <v>173</v>
      </c>
      <c r="AX49" s="371" t="s">
        <v>140</v>
      </c>
      <c r="AY49" s="128" t="s">
        <v>256</v>
      </c>
      <c r="AZ49" s="51"/>
      <c r="BA49" s="131" t="s">
        <v>173</v>
      </c>
      <c r="BB49" s="371" t="s">
        <v>140</v>
      </c>
      <c r="BC49" s="128" t="s">
        <v>256</v>
      </c>
      <c r="BD49" s="51"/>
      <c r="BE49" s="131" t="s">
        <v>173</v>
      </c>
      <c r="BF49" s="371" t="s">
        <v>140</v>
      </c>
      <c r="BG49" s="128" t="s">
        <v>256</v>
      </c>
      <c r="BH49" s="51"/>
      <c r="BI49" s="131" t="s">
        <v>173</v>
      </c>
      <c r="BJ49" s="371" t="s">
        <v>140</v>
      </c>
      <c r="BK49" s="128" t="s">
        <v>256</v>
      </c>
      <c r="BL49" s="51"/>
      <c r="BM49" s="131" t="s">
        <v>173</v>
      </c>
      <c r="BN49" s="371" t="s">
        <v>140</v>
      </c>
      <c r="BO49" s="128" t="s">
        <v>256</v>
      </c>
      <c r="BP49" s="51"/>
      <c r="BQ49" s="131" t="s">
        <v>173</v>
      </c>
      <c r="BR49" s="371" t="s">
        <v>140</v>
      </c>
      <c r="BS49" s="128" t="s">
        <v>256</v>
      </c>
      <c r="BT49" s="151"/>
      <c r="BU49" s="131" t="s">
        <v>173</v>
      </c>
      <c r="BV49" s="371" t="s">
        <v>140</v>
      </c>
      <c r="BW49" s="128" t="s">
        <v>256</v>
      </c>
      <c r="BX49" s="51"/>
      <c r="BY49" s="254"/>
      <c r="BZ49" s="131" t="s">
        <v>173</v>
      </c>
      <c r="CA49" s="371" t="s">
        <v>140</v>
      </c>
      <c r="CB49" s="128" t="s">
        <v>256</v>
      </c>
      <c r="CC49" s="51"/>
    </row>
    <row r="50" spans="1:81" ht="15" customHeight="1" hidden="1">
      <c r="A50" s="131" t="s">
        <v>174</v>
      </c>
      <c r="B50" s="371" t="s">
        <v>141</v>
      </c>
      <c r="C50" s="85" t="s">
        <v>15</v>
      </c>
      <c r="D50" s="52">
        <f>L50+P50+T50+X50+AB50+AF50+AJ50+AN50+AR50+AV50+AZ50+BD50+BH50+BL50+BP50+BT50+BX50</f>
        <v>0</v>
      </c>
      <c r="E50" s="68" t="e">
        <f>#REF!+#REF!+#REF!+#REF!+#REF!+#REF!+#REF!+#REF!+#REF!+#REF!+#REF!+#REF!+#REF!+#REF!+#REF!+#REF!+#REF!+#REF!</f>
        <v>#REF!</v>
      </c>
      <c r="F50" s="77" t="e">
        <f>#REF!+#REF!+#REF!+#REF!+#REF!+#REF!+#REF!+#REF!+#REF!+#REF!+#REF!+#REF!+#REF!+#REF!+#REF!+#REF!+#REF!+#REF!</f>
        <v>#REF!</v>
      </c>
      <c r="G50" s="259"/>
      <c r="I50" s="131" t="s">
        <v>174</v>
      </c>
      <c r="J50" s="371" t="s">
        <v>141</v>
      </c>
      <c r="K50" s="85" t="s">
        <v>15</v>
      </c>
      <c r="L50" s="51"/>
      <c r="M50" s="131" t="s">
        <v>174</v>
      </c>
      <c r="N50" s="371" t="s">
        <v>141</v>
      </c>
      <c r="O50" s="85" t="s">
        <v>15</v>
      </c>
      <c r="P50" s="51"/>
      <c r="Q50" s="131" t="s">
        <v>174</v>
      </c>
      <c r="R50" s="371" t="s">
        <v>141</v>
      </c>
      <c r="S50" s="85" t="s">
        <v>15</v>
      </c>
      <c r="T50" s="51"/>
      <c r="U50" s="131" t="s">
        <v>174</v>
      </c>
      <c r="V50" s="371" t="s">
        <v>141</v>
      </c>
      <c r="W50" s="85" t="s">
        <v>15</v>
      </c>
      <c r="X50" s="51"/>
      <c r="Y50" s="131" t="s">
        <v>174</v>
      </c>
      <c r="Z50" s="371" t="s">
        <v>141</v>
      </c>
      <c r="AA50" s="85" t="s">
        <v>15</v>
      </c>
      <c r="AB50" s="51"/>
      <c r="AC50" s="131" t="s">
        <v>174</v>
      </c>
      <c r="AD50" s="371" t="s">
        <v>141</v>
      </c>
      <c r="AE50" s="85" t="s">
        <v>15</v>
      </c>
      <c r="AF50" s="51"/>
      <c r="AG50" s="131" t="s">
        <v>174</v>
      </c>
      <c r="AH50" s="371" t="s">
        <v>141</v>
      </c>
      <c r="AI50" s="85" t="s">
        <v>15</v>
      </c>
      <c r="AJ50" s="51"/>
      <c r="AK50" s="131" t="s">
        <v>174</v>
      </c>
      <c r="AL50" s="371" t="s">
        <v>141</v>
      </c>
      <c r="AM50" s="85" t="s">
        <v>15</v>
      </c>
      <c r="AN50" s="51"/>
      <c r="AO50" s="131" t="s">
        <v>174</v>
      </c>
      <c r="AP50" s="371" t="s">
        <v>141</v>
      </c>
      <c r="AQ50" s="85" t="s">
        <v>15</v>
      </c>
      <c r="AR50" s="51"/>
      <c r="AS50" s="131" t="s">
        <v>174</v>
      </c>
      <c r="AT50" s="371" t="s">
        <v>141</v>
      </c>
      <c r="AU50" s="85" t="s">
        <v>15</v>
      </c>
      <c r="AV50" s="51"/>
      <c r="AW50" s="131" t="s">
        <v>174</v>
      </c>
      <c r="AX50" s="371" t="s">
        <v>141</v>
      </c>
      <c r="AY50" s="85" t="s">
        <v>15</v>
      </c>
      <c r="AZ50" s="51"/>
      <c r="BA50" s="131" t="s">
        <v>174</v>
      </c>
      <c r="BB50" s="371" t="s">
        <v>141</v>
      </c>
      <c r="BC50" s="85" t="s">
        <v>15</v>
      </c>
      <c r="BD50" s="51"/>
      <c r="BE50" s="131" t="s">
        <v>174</v>
      </c>
      <c r="BF50" s="371" t="s">
        <v>141</v>
      </c>
      <c r="BG50" s="85" t="s">
        <v>15</v>
      </c>
      <c r="BH50" s="51"/>
      <c r="BI50" s="131" t="s">
        <v>174</v>
      </c>
      <c r="BJ50" s="371" t="s">
        <v>141</v>
      </c>
      <c r="BK50" s="85" t="s">
        <v>15</v>
      </c>
      <c r="BL50" s="51"/>
      <c r="BM50" s="131" t="s">
        <v>174</v>
      </c>
      <c r="BN50" s="371" t="s">
        <v>141</v>
      </c>
      <c r="BO50" s="85" t="s">
        <v>15</v>
      </c>
      <c r="BP50" s="51"/>
      <c r="BQ50" s="131" t="s">
        <v>174</v>
      </c>
      <c r="BR50" s="371" t="s">
        <v>141</v>
      </c>
      <c r="BS50" s="85" t="s">
        <v>15</v>
      </c>
      <c r="BT50" s="151"/>
      <c r="BU50" s="131" t="s">
        <v>174</v>
      </c>
      <c r="BV50" s="371" t="s">
        <v>141</v>
      </c>
      <c r="BW50" s="85" t="s">
        <v>15</v>
      </c>
      <c r="BX50" s="51"/>
      <c r="BY50" s="253"/>
      <c r="BZ50" s="131" t="s">
        <v>174</v>
      </c>
      <c r="CA50" s="371" t="s">
        <v>141</v>
      </c>
      <c r="CB50" s="85" t="s">
        <v>15</v>
      </c>
      <c r="CC50" s="51"/>
    </row>
    <row r="51" spans="1:81" ht="15.75">
      <c r="A51" s="39"/>
      <c r="B51" s="41" t="s">
        <v>216</v>
      </c>
      <c r="C51" s="43"/>
      <c r="D51" s="40"/>
      <c r="E51" s="106"/>
      <c r="F51" s="106" t="e">
        <f>SUM(F29:F50)</f>
        <v>#REF!</v>
      </c>
      <c r="G51" s="261"/>
      <c r="I51" s="39"/>
      <c r="J51" s="41" t="s">
        <v>216</v>
      </c>
      <c r="K51" s="43"/>
      <c r="L51" s="160"/>
      <c r="M51" s="39"/>
      <c r="N51" s="41" t="s">
        <v>216</v>
      </c>
      <c r="O51" s="43"/>
      <c r="P51" s="160"/>
      <c r="Q51" s="39"/>
      <c r="R51" s="41" t="s">
        <v>216</v>
      </c>
      <c r="S51" s="43"/>
      <c r="T51" s="40"/>
      <c r="U51" s="39"/>
      <c r="V51" s="41" t="s">
        <v>216</v>
      </c>
      <c r="W51" s="43"/>
      <c r="X51" s="40"/>
      <c r="Y51" s="39"/>
      <c r="Z51" s="41" t="s">
        <v>216</v>
      </c>
      <c r="AA51" s="43"/>
      <c r="AB51" s="40"/>
      <c r="AC51" s="39"/>
      <c r="AD51" s="41" t="s">
        <v>216</v>
      </c>
      <c r="AE51" s="43"/>
      <c r="AF51" s="40"/>
      <c r="AG51" s="39"/>
      <c r="AH51" s="41" t="s">
        <v>216</v>
      </c>
      <c r="AI51" s="43"/>
      <c r="AJ51" s="40"/>
      <c r="AK51" s="39"/>
      <c r="AL51" s="41" t="s">
        <v>216</v>
      </c>
      <c r="AM51" s="43"/>
      <c r="AN51" s="40"/>
      <c r="AO51" s="39"/>
      <c r="AP51" s="41" t="s">
        <v>216</v>
      </c>
      <c r="AQ51" s="43"/>
      <c r="AR51" s="40"/>
      <c r="AS51" s="39"/>
      <c r="AT51" s="41" t="s">
        <v>216</v>
      </c>
      <c r="AU51" s="43"/>
      <c r="AV51" s="40"/>
      <c r="AW51" s="39"/>
      <c r="AX51" s="41" t="s">
        <v>216</v>
      </c>
      <c r="AY51" s="43"/>
      <c r="AZ51" s="40"/>
      <c r="BA51" s="39"/>
      <c r="BB51" s="41" t="s">
        <v>216</v>
      </c>
      <c r="BC51" s="43"/>
      <c r="BD51" s="40"/>
      <c r="BE51" s="39"/>
      <c r="BF51" s="41" t="s">
        <v>216</v>
      </c>
      <c r="BG51" s="43"/>
      <c r="BH51" s="40"/>
      <c r="BI51" s="39"/>
      <c r="BJ51" s="41" t="s">
        <v>216</v>
      </c>
      <c r="BK51" s="43"/>
      <c r="BL51" s="40"/>
      <c r="BM51" s="39"/>
      <c r="BN51" s="41" t="s">
        <v>216</v>
      </c>
      <c r="BO51" s="43"/>
      <c r="BP51" s="40"/>
      <c r="BQ51" s="39"/>
      <c r="BR51" s="41" t="s">
        <v>216</v>
      </c>
      <c r="BS51" s="43"/>
      <c r="BT51" s="40"/>
      <c r="BU51" s="39"/>
      <c r="BV51" s="41" t="s">
        <v>216</v>
      </c>
      <c r="BW51" s="43"/>
      <c r="BX51" s="40"/>
      <c r="BY51" s="247"/>
      <c r="BZ51" s="39"/>
      <c r="CA51" s="41" t="s">
        <v>216</v>
      </c>
      <c r="CB51" s="43"/>
      <c r="CC51" s="40"/>
    </row>
    <row r="52" spans="1:81" s="401" customFormat="1" ht="18.75">
      <c r="A52" s="397" t="s">
        <v>156</v>
      </c>
      <c r="B52" s="372" t="s">
        <v>44</v>
      </c>
      <c r="C52" s="398"/>
      <c r="D52" s="231"/>
      <c r="E52" s="399"/>
      <c r="F52" s="399"/>
      <c r="G52" s="400"/>
      <c r="I52" s="397" t="s">
        <v>156</v>
      </c>
      <c r="J52" s="372" t="s">
        <v>44</v>
      </c>
      <c r="K52" s="398"/>
      <c r="L52" s="402"/>
      <c r="M52" s="397" t="s">
        <v>156</v>
      </c>
      <c r="N52" s="372" t="s">
        <v>44</v>
      </c>
      <c r="O52" s="398"/>
      <c r="P52" s="402"/>
      <c r="Q52" s="397" t="s">
        <v>156</v>
      </c>
      <c r="R52" s="372" t="s">
        <v>44</v>
      </c>
      <c r="S52" s="398"/>
      <c r="T52" s="231"/>
      <c r="U52" s="397" t="s">
        <v>156</v>
      </c>
      <c r="V52" s="372" t="s">
        <v>44</v>
      </c>
      <c r="W52" s="398"/>
      <c r="X52" s="231"/>
      <c r="Y52" s="397" t="s">
        <v>156</v>
      </c>
      <c r="Z52" s="372" t="s">
        <v>44</v>
      </c>
      <c r="AA52" s="398"/>
      <c r="AB52" s="231"/>
      <c r="AC52" s="397" t="s">
        <v>156</v>
      </c>
      <c r="AD52" s="372" t="s">
        <v>44</v>
      </c>
      <c r="AE52" s="398"/>
      <c r="AF52" s="231"/>
      <c r="AG52" s="397" t="s">
        <v>156</v>
      </c>
      <c r="AH52" s="372" t="s">
        <v>44</v>
      </c>
      <c r="AI52" s="398"/>
      <c r="AJ52" s="231"/>
      <c r="AK52" s="397" t="s">
        <v>156</v>
      </c>
      <c r="AL52" s="372" t="s">
        <v>44</v>
      </c>
      <c r="AM52" s="398"/>
      <c r="AN52" s="231"/>
      <c r="AO52" s="397" t="s">
        <v>156</v>
      </c>
      <c r="AP52" s="372" t="s">
        <v>44</v>
      </c>
      <c r="AQ52" s="398"/>
      <c r="AR52" s="231"/>
      <c r="AS52" s="397" t="s">
        <v>156</v>
      </c>
      <c r="AT52" s="372" t="s">
        <v>44</v>
      </c>
      <c r="AU52" s="398"/>
      <c r="AV52" s="231"/>
      <c r="AW52" s="397" t="s">
        <v>156</v>
      </c>
      <c r="AX52" s="372" t="s">
        <v>44</v>
      </c>
      <c r="AY52" s="398"/>
      <c r="AZ52" s="231"/>
      <c r="BA52" s="397" t="s">
        <v>156</v>
      </c>
      <c r="BB52" s="372" t="s">
        <v>44</v>
      </c>
      <c r="BC52" s="398"/>
      <c r="BD52" s="231"/>
      <c r="BE52" s="397" t="s">
        <v>156</v>
      </c>
      <c r="BF52" s="372" t="s">
        <v>44</v>
      </c>
      <c r="BG52" s="398"/>
      <c r="BH52" s="231"/>
      <c r="BI52" s="397" t="s">
        <v>156</v>
      </c>
      <c r="BJ52" s="372" t="s">
        <v>44</v>
      </c>
      <c r="BK52" s="398"/>
      <c r="BL52" s="231"/>
      <c r="BM52" s="397" t="s">
        <v>156</v>
      </c>
      <c r="BN52" s="372" t="s">
        <v>44</v>
      </c>
      <c r="BO52" s="398"/>
      <c r="BP52" s="231"/>
      <c r="BQ52" s="397" t="s">
        <v>156</v>
      </c>
      <c r="BR52" s="372" t="s">
        <v>44</v>
      </c>
      <c r="BS52" s="398"/>
      <c r="BT52" s="231"/>
      <c r="BU52" s="397" t="s">
        <v>156</v>
      </c>
      <c r="BV52" s="372" t="s">
        <v>44</v>
      </c>
      <c r="BW52" s="398"/>
      <c r="BX52" s="231"/>
      <c r="BY52" s="399"/>
      <c r="BZ52" s="397" t="s">
        <v>156</v>
      </c>
      <c r="CA52" s="372" t="s">
        <v>44</v>
      </c>
      <c r="CB52" s="398"/>
      <c r="CC52" s="231"/>
    </row>
    <row r="53" spans="1:81" s="289" customFormat="1" ht="15" customHeight="1">
      <c r="A53" s="143" t="s">
        <v>173</v>
      </c>
      <c r="B53" s="290" t="s">
        <v>36</v>
      </c>
      <c r="C53" s="66" t="s">
        <v>20</v>
      </c>
      <c r="D53" s="67">
        <f aca="true" t="shared" si="1" ref="D53:D62">L53+P53+T53+X53+AB53+AF53+AJ53+AN53+AR53+AV53+AZ53+BD53+BH53+BL53+BP53+BT53+BX53+CC53</f>
        <v>112</v>
      </c>
      <c r="E53" s="68" t="e">
        <f>#REF!+#REF!+#REF!+#REF!+#REF!+#REF!+#REF!+#REF!+#REF!+#REF!+#REF!+#REF!+#REF!+#REF!+#REF!+#REF!+#REF!+#REF!</f>
        <v>#REF!</v>
      </c>
      <c r="F53" s="77" t="e">
        <f>#REF!+#REF!+#REF!+#REF!+#REF!+#REF!+#REF!+#REF!+#REF!+#REF!+#REF!+#REF!+#REF!+#REF!+#REF!+#REF!+#REF!+#REF!</f>
        <v>#REF!</v>
      </c>
      <c r="G53" s="387"/>
      <c r="I53" s="143" t="s">
        <v>173</v>
      </c>
      <c r="J53" s="290" t="s">
        <v>36</v>
      </c>
      <c r="K53" s="66" t="s">
        <v>20</v>
      </c>
      <c r="L53" s="388">
        <v>5</v>
      </c>
      <c r="M53" s="143" t="s">
        <v>173</v>
      </c>
      <c r="N53" s="290" t="s">
        <v>36</v>
      </c>
      <c r="O53" s="66" t="s">
        <v>20</v>
      </c>
      <c r="P53" s="388">
        <v>18</v>
      </c>
      <c r="Q53" s="143" t="s">
        <v>173</v>
      </c>
      <c r="R53" s="290" t="s">
        <v>36</v>
      </c>
      <c r="S53" s="66" t="s">
        <v>20</v>
      </c>
      <c r="T53" s="389"/>
      <c r="U53" s="143" t="s">
        <v>173</v>
      </c>
      <c r="V53" s="290" t="s">
        <v>36</v>
      </c>
      <c r="W53" s="66" t="s">
        <v>20</v>
      </c>
      <c r="X53" s="389"/>
      <c r="Y53" s="143" t="s">
        <v>173</v>
      </c>
      <c r="Z53" s="290" t="s">
        <v>36</v>
      </c>
      <c r="AA53" s="66" t="s">
        <v>20</v>
      </c>
      <c r="AB53" s="389"/>
      <c r="AC53" s="143" t="s">
        <v>173</v>
      </c>
      <c r="AD53" s="290" t="s">
        <v>36</v>
      </c>
      <c r="AE53" s="66" t="s">
        <v>20</v>
      </c>
      <c r="AF53" s="389"/>
      <c r="AG53" s="143" t="s">
        <v>173</v>
      </c>
      <c r="AH53" s="290" t="s">
        <v>36</v>
      </c>
      <c r="AI53" s="66" t="s">
        <v>20</v>
      </c>
      <c r="AJ53" s="388">
        <v>23</v>
      </c>
      <c r="AK53" s="143" t="s">
        <v>173</v>
      </c>
      <c r="AL53" s="290" t="s">
        <v>36</v>
      </c>
      <c r="AM53" s="66" t="s">
        <v>20</v>
      </c>
      <c r="AN53" s="388">
        <v>18</v>
      </c>
      <c r="AO53" s="143" t="s">
        <v>173</v>
      </c>
      <c r="AP53" s="290" t="s">
        <v>36</v>
      </c>
      <c r="AQ53" s="66" t="s">
        <v>20</v>
      </c>
      <c r="AR53" s="389"/>
      <c r="AS53" s="143" t="s">
        <v>173</v>
      </c>
      <c r="AT53" s="290" t="s">
        <v>36</v>
      </c>
      <c r="AU53" s="66" t="s">
        <v>20</v>
      </c>
      <c r="AV53" s="657">
        <v>15</v>
      </c>
      <c r="AW53" s="143" t="s">
        <v>173</v>
      </c>
      <c r="AX53" s="290" t="s">
        <v>36</v>
      </c>
      <c r="AY53" s="66" t="s">
        <v>20</v>
      </c>
      <c r="AZ53" s="388">
        <v>10</v>
      </c>
      <c r="BA53" s="143" t="s">
        <v>173</v>
      </c>
      <c r="BB53" s="290" t="s">
        <v>36</v>
      </c>
      <c r="BC53" s="66" t="s">
        <v>20</v>
      </c>
      <c r="BD53" s="388">
        <v>9</v>
      </c>
      <c r="BE53" s="143" t="s">
        <v>173</v>
      </c>
      <c r="BF53" s="290" t="s">
        <v>36</v>
      </c>
      <c r="BG53" s="66" t="s">
        <v>20</v>
      </c>
      <c r="BH53" s="389"/>
      <c r="BI53" s="143" t="s">
        <v>173</v>
      </c>
      <c r="BJ53" s="290" t="s">
        <v>36</v>
      </c>
      <c r="BK53" s="66" t="s">
        <v>20</v>
      </c>
      <c r="BL53" s="389"/>
      <c r="BM53" s="143" t="s">
        <v>173</v>
      </c>
      <c r="BN53" s="290" t="s">
        <v>36</v>
      </c>
      <c r="BO53" s="66" t="s">
        <v>20</v>
      </c>
      <c r="BP53" s="388">
        <v>14</v>
      </c>
      <c r="BQ53" s="143" t="s">
        <v>173</v>
      </c>
      <c r="BR53" s="290" t="s">
        <v>36</v>
      </c>
      <c r="BS53" s="66" t="s">
        <v>20</v>
      </c>
      <c r="BT53" s="389"/>
      <c r="BU53" s="143" t="s">
        <v>173</v>
      </c>
      <c r="BV53" s="290" t="s">
        <v>36</v>
      </c>
      <c r="BW53" s="66" t="s">
        <v>20</v>
      </c>
      <c r="BX53" s="389"/>
      <c r="BY53" s="278"/>
      <c r="BZ53" s="143" t="s">
        <v>173</v>
      </c>
      <c r="CA53" s="290" t="s">
        <v>36</v>
      </c>
      <c r="CB53" s="66" t="s">
        <v>20</v>
      </c>
      <c r="CC53" s="389"/>
    </row>
    <row r="54" spans="1:81" ht="12.75">
      <c r="A54" s="20" t="s">
        <v>174</v>
      </c>
      <c r="B54" s="3" t="s">
        <v>45</v>
      </c>
      <c r="C54" s="11" t="s">
        <v>20</v>
      </c>
      <c r="D54" s="52">
        <f t="shared" si="1"/>
        <v>50</v>
      </c>
      <c r="E54" s="68" t="e">
        <f>#REF!+#REF!+#REF!+#REF!+#REF!+#REF!+#REF!+#REF!+#REF!+#REF!+#REF!+#REF!+#REF!+#REF!+#REF!+#REF!+#REF!+#REF!</f>
        <v>#REF!</v>
      </c>
      <c r="F54" s="77" t="e">
        <f>#REF!+#REF!+#REF!+#REF!+#REF!+#REF!+#REF!+#REF!+#REF!+#REF!+#REF!+#REF!+#REF!+#REF!+#REF!+#REF!+#REF!+#REF!</f>
        <v>#REF!</v>
      </c>
      <c r="G54" s="259" t="e">
        <f>E54/D54*100</f>
        <v>#REF!</v>
      </c>
      <c r="I54" s="20" t="s">
        <v>174</v>
      </c>
      <c r="J54" s="3" t="s">
        <v>45</v>
      </c>
      <c r="K54" s="11" t="s">
        <v>20</v>
      </c>
      <c r="L54" s="678">
        <v>18</v>
      </c>
      <c r="M54" s="20" t="s">
        <v>174</v>
      </c>
      <c r="N54" s="3" t="s">
        <v>45</v>
      </c>
      <c r="O54" s="11" t="s">
        <v>20</v>
      </c>
      <c r="P54" s="52"/>
      <c r="Q54" s="20" t="s">
        <v>174</v>
      </c>
      <c r="R54" s="3" t="s">
        <v>45</v>
      </c>
      <c r="S54" s="11" t="s">
        <v>20</v>
      </c>
      <c r="T54" s="52"/>
      <c r="U54" s="20" t="s">
        <v>174</v>
      </c>
      <c r="V54" s="3" t="s">
        <v>45</v>
      </c>
      <c r="W54" s="11" t="s">
        <v>20</v>
      </c>
      <c r="X54" s="52"/>
      <c r="Y54" s="20" t="s">
        <v>174</v>
      </c>
      <c r="Z54" s="3" t="s">
        <v>45</v>
      </c>
      <c r="AA54" s="11" t="s">
        <v>20</v>
      </c>
      <c r="AB54" s="52"/>
      <c r="AC54" s="20" t="s">
        <v>174</v>
      </c>
      <c r="AD54" s="3" t="s">
        <v>45</v>
      </c>
      <c r="AE54" s="11" t="s">
        <v>20</v>
      </c>
      <c r="AF54" s="52"/>
      <c r="AG54" s="20" t="s">
        <v>174</v>
      </c>
      <c r="AH54" s="3" t="s">
        <v>45</v>
      </c>
      <c r="AI54" s="11" t="s">
        <v>20</v>
      </c>
      <c r="AJ54" s="52"/>
      <c r="AK54" s="20" t="s">
        <v>174</v>
      </c>
      <c r="AL54" s="3" t="s">
        <v>45</v>
      </c>
      <c r="AM54" s="11" t="s">
        <v>20</v>
      </c>
      <c r="AN54" s="52"/>
      <c r="AO54" s="20" t="s">
        <v>174</v>
      </c>
      <c r="AP54" s="3" t="s">
        <v>45</v>
      </c>
      <c r="AQ54" s="11" t="s">
        <v>20</v>
      </c>
      <c r="AR54" s="52"/>
      <c r="AS54" s="20" t="s">
        <v>174</v>
      </c>
      <c r="AT54" s="3" t="s">
        <v>45</v>
      </c>
      <c r="AU54" s="11" t="s">
        <v>20</v>
      </c>
      <c r="AV54" s="52">
        <v>16</v>
      </c>
      <c r="AW54" s="20" t="s">
        <v>174</v>
      </c>
      <c r="AX54" s="3" t="s">
        <v>45</v>
      </c>
      <c r="AY54" s="11" t="s">
        <v>20</v>
      </c>
      <c r="AZ54" s="52">
        <v>16</v>
      </c>
      <c r="BA54" s="20" t="s">
        <v>174</v>
      </c>
      <c r="BB54" s="3" t="s">
        <v>45</v>
      </c>
      <c r="BC54" s="11" t="s">
        <v>20</v>
      </c>
      <c r="BD54" s="52"/>
      <c r="BE54" s="20" t="s">
        <v>174</v>
      </c>
      <c r="BF54" s="3" t="s">
        <v>45</v>
      </c>
      <c r="BG54" s="11" t="s">
        <v>20</v>
      </c>
      <c r="BH54" s="52"/>
      <c r="BI54" s="20" t="s">
        <v>174</v>
      </c>
      <c r="BJ54" s="3" t="s">
        <v>45</v>
      </c>
      <c r="BK54" s="11" t="s">
        <v>20</v>
      </c>
      <c r="BL54" s="52"/>
      <c r="BM54" s="20" t="s">
        <v>174</v>
      </c>
      <c r="BN54" s="3" t="s">
        <v>45</v>
      </c>
      <c r="BO54" s="11" t="s">
        <v>20</v>
      </c>
      <c r="BP54" s="52"/>
      <c r="BQ54" s="20" t="s">
        <v>174</v>
      </c>
      <c r="BR54" s="3" t="s">
        <v>45</v>
      </c>
      <c r="BS54" s="11" t="s">
        <v>20</v>
      </c>
      <c r="BT54" s="154"/>
      <c r="BU54" s="20" t="s">
        <v>174</v>
      </c>
      <c r="BV54" s="3" t="s">
        <v>45</v>
      </c>
      <c r="BW54" s="11" t="s">
        <v>20</v>
      </c>
      <c r="BX54" s="52"/>
      <c r="BY54" s="253"/>
      <c r="BZ54" s="20" t="s">
        <v>174</v>
      </c>
      <c r="CA54" s="3" t="s">
        <v>45</v>
      </c>
      <c r="CB54" s="11" t="s">
        <v>20</v>
      </c>
      <c r="CC54" s="52"/>
    </row>
    <row r="55" spans="1:81" ht="12.75">
      <c r="A55" s="20" t="s">
        <v>175</v>
      </c>
      <c r="B55" s="3" t="s">
        <v>145</v>
      </c>
      <c r="C55" s="11" t="s">
        <v>20</v>
      </c>
      <c r="D55" s="52">
        <f t="shared" si="1"/>
        <v>2</v>
      </c>
      <c r="E55" s="68" t="e">
        <f>#REF!+#REF!+#REF!+#REF!+#REF!+#REF!+#REF!+#REF!+#REF!+#REF!+#REF!+#REF!+#REF!+#REF!+#REF!+#REF!+#REF!+#REF!</f>
        <v>#REF!</v>
      </c>
      <c r="F55" s="77" t="e">
        <f>#REF!+#REF!+#REF!+#REF!+#REF!+#REF!+#REF!+#REF!+#REF!+#REF!+#REF!+#REF!+#REF!+#REF!+#REF!+#REF!+#REF!+#REF!</f>
        <v>#REF!</v>
      </c>
      <c r="G55" s="259" t="e">
        <f>E55/D55*100</f>
        <v>#REF!</v>
      </c>
      <c r="I55" s="20" t="s">
        <v>175</v>
      </c>
      <c r="J55" s="3" t="s">
        <v>145</v>
      </c>
      <c r="K55" s="11" t="s">
        <v>20</v>
      </c>
      <c r="L55" s="678"/>
      <c r="M55" s="20" t="s">
        <v>175</v>
      </c>
      <c r="N55" s="3" t="s">
        <v>145</v>
      </c>
      <c r="O55" s="11" t="s">
        <v>20</v>
      </c>
      <c r="P55" s="52"/>
      <c r="Q55" s="20" t="s">
        <v>175</v>
      </c>
      <c r="R55" s="3" t="s">
        <v>145</v>
      </c>
      <c r="S55" s="11" t="s">
        <v>20</v>
      </c>
      <c r="T55" s="52"/>
      <c r="U55" s="20" t="s">
        <v>175</v>
      </c>
      <c r="V55" s="3" t="s">
        <v>145</v>
      </c>
      <c r="W55" s="11" t="s">
        <v>20</v>
      </c>
      <c r="X55" s="52"/>
      <c r="Y55" s="20" t="s">
        <v>175</v>
      </c>
      <c r="Z55" s="3" t="s">
        <v>145</v>
      </c>
      <c r="AA55" s="11" t="s">
        <v>20</v>
      </c>
      <c r="AB55" s="52">
        <v>1</v>
      </c>
      <c r="AC55" s="20" t="s">
        <v>175</v>
      </c>
      <c r="AD55" s="3" t="s">
        <v>145</v>
      </c>
      <c r="AE55" s="11" t="s">
        <v>20</v>
      </c>
      <c r="AF55" s="52"/>
      <c r="AG55" s="20" t="s">
        <v>175</v>
      </c>
      <c r="AH55" s="3" t="s">
        <v>145</v>
      </c>
      <c r="AI55" s="11" t="s">
        <v>20</v>
      </c>
      <c r="AJ55" s="52"/>
      <c r="AK55" s="20" t="s">
        <v>175</v>
      </c>
      <c r="AL55" s="3" t="s">
        <v>145</v>
      </c>
      <c r="AM55" s="11" t="s">
        <v>20</v>
      </c>
      <c r="AN55" s="52"/>
      <c r="AO55" s="20" t="s">
        <v>175</v>
      </c>
      <c r="AP55" s="3" t="s">
        <v>145</v>
      </c>
      <c r="AQ55" s="11" t="s">
        <v>20</v>
      </c>
      <c r="AR55" s="376">
        <v>1</v>
      </c>
      <c r="AS55" s="20" t="s">
        <v>175</v>
      </c>
      <c r="AT55" s="3" t="s">
        <v>145</v>
      </c>
      <c r="AU55" s="11" t="s">
        <v>20</v>
      </c>
      <c r="AV55" s="52"/>
      <c r="AW55" s="20" t="s">
        <v>175</v>
      </c>
      <c r="AX55" s="3" t="s">
        <v>145</v>
      </c>
      <c r="AY55" s="11" t="s">
        <v>20</v>
      </c>
      <c r="AZ55" s="52"/>
      <c r="BA55" s="20" t="s">
        <v>175</v>
      </c>
      <c r="BB55" s="3" t="s">
        <v>145</v>
      </c>
      <c r="BC55" s="11" t="s">
        <v>20</v>
      </c>
      <c r="BD55" s="52"/>
      <c r="BE55" s="20" t="s">
        <v>175</v>
      </c>
      <c r="BF55" s="3" t="s">
        <v>145</v>
      </c>
      <c r="BG55" s="11" t="s">
        <v>20</v>
      </c>
      <c r="BH55" s="52"/>
      <c r="BI55" s="20" t="s">
        <v>175</v>
      </c>
      <c r="BJ55" s="3" t="s">
        <v>145</v>
      </c>
      <c r="BK55" s="11" t="s">
        <v>20</v>
      </c>
      <c r="BL55" s="52"/>
      <c r="BM55" s="20" t="s">
        <v>175</v>
      </c>
      <c r="BN55" s="3" t="s">
        <v>145</v>
      </c>
      <c r="BO55" s="11" t="s">
        <v>20</v>
      </c>
      <c r="BP55" s="52"/>
      <c r="BQ55" s="20" t="s">
        <v>175</v>
      </c>
      <c r="BR55" s="3" t="s">
        <v>145</v>
      </c>
      <c r="BS55" s="11" t="s">
        <v>20</v>
      </c>
      <c r="BT55" s="154"/>
      <c r="BU55" s="20" t="s">
        <v>175</v>
      </c>
      <c r="BV55" s="3" t="s">
        <v>145</v>
      </c>
      <c r="BW55" s="11" t="s">
        <v>20</v>
      </c>
      <c r="BX55" s="52"/>
      <c r="BY55" s="253"/>
      <c r="BZ55" s="20" t="s">
        <v>175</v>
      </c>
      <c r="CA55" s="3" t="s">
        <v>145</v>
      </c>
      <c r="CB55" s="11" t="s">
        <v>20</v>
      </c>
      <c r="CC55" s="52"/>
    </row>
    <row r="56" spans="1:81" ht="12.75" hidden="1">
      <c r="A56" s="20" t="s">
        <v>173</v>
      </c>
      <c r="B56" s="3" t="s">
        <v>207</v>
      </c>
      <c r="C56" s="11" t="s">
        <v>10</v>
      </c>
      <c r="D56" s="52">
        <f t="shared" si="1"/>
        <v>0</v>
      </c>
      <c r="E56" s="68" t="e">
        <f>#REF!+#REF!+#REF!+#REF!+#REF!+#REF!+#REF!+#REF!+#REF!+#REF!+#REF!+#REF!+#REF!+#REF!+#REF!+#REF!+#REF!+#REF!</f>
        <v>#REF!</v>
      </c>
      <c r="F56" s="77" t="e">
        <f>#REF!+#REF!+#REF!+#REF!+#REF!+#REF!+#REF!+#REF!+#REF!+#REF!+#REF!+#REF!+#REF!+#REF!+#REF!+#REF!+#REF!+#REF!</f>
        <v>#REF!</v>
      </c>
      <c r="G56" s="259"/>
      <c r="I56" s="20" t="s">
        <v>173</v>
      </c>
      <c r="J56" s="3" t="s">
        <v>207</v>
      </c>
      <c r="K56" s="11" t="s">
        <v>10</v>
      </c>
      <c r="L56" s="678"/>
      <c r="M56" s="20" t="s">
        <v>173</v>
      </c>
      <c r="N56" s="3" t="s">
        <v>207</v>
      </c>
      <c r="O56" s="11" t="s">
        <v>10</v>
      </c>
      <c r="P56" s="52"/>
      <c r="Q56" s="20" t="s">
        <v>173</v>
      </c>
      <c r="R56" s="3" t="s">
        <v>207</v>
      </c>
      <c r="S56" s="11" t="s">
        <v>10</v>
      </c>
      <c r="T56" s="52"/>
      <c r="U56" s="20" t="s">
        <v>173</v>
      </c>
      <c r="V56" s="3" t="s">
        <v>207</v>
      </c>
      <c r="W56" s="11" t="s">
        <v>10</v>
      </c>
      <c r="X56" s="52"/>
      <c r="Y56" s="20" t="s">
        <v>173</v>
      </c>
      <c r="Z56" s="3" t="s">
        <v>207</v>
      </c>
      <c r="AA56" s="11" t="s">
        <v>10</v>
      </c>
      <c r="AB56" s="52"/>
      <c r="AC56" s="20" t="s">
        <v>173</v>
      </c>
      <c r="AD56" s="3" t="s">
        <v>207</v>
      </c>
      <c r="AE56" s="11" t="s">
        <v>10</v>
      </c>
      <c r="AF56" s="52"/>
      <c r="AG56" s="20" t="s">
        <v>173</v>
      </c>
      <c r="AH56" s="3" t="s">
        <v>207</v>
      </c>
      <c r="AI56" s="11" t="s">
        <v>10</v>
      </c>
      <c r="AJ56" s="52"/>
      <c r="AK56" s="20" t="s">
        <v>173</v>
      </c>
      <c r="AL56" s="3" t="s">
        <v>207</v>
      </c>
      <c r="AM56" s="11" t="s">
        <v>10</v>
      </c>
      <c r="AN56" s="52"/>
      <c r="AO56" s="20" t="s">
        <v>173</v>
      </c>
      <c r="AP56" s="3" t="s">
        <v>207</v>
      </c>
      <c r="AQ56" s="11" t="s">
        <v>10</v>
      </c>
      <c r="AR56" s="52"/>
      <c r="AS56" s="20" t="s">
        <v>173</v>
      </c>
      <c r="AT56" s="3" t="s">
        <v>207</v>
      </c>
      <c r="AU56" s="11" t="s">
        <v>10</v>
      </c>
      <c r="AV56" s="52"/>
      <c r="AW56" s="20" t="s">
        <v>173</v>
      </c>
      <c r="AX56" s="3" t="s">
        <v>207</v>
      </c>
      <c r="AY56" s="11" t="s">
        <v>10</v>
      </c>
      <c r="AZ56" s="52"/>
      <c r="BA56" s="20" t="s">
        <v>173</v>
      </c>
      <c r="BB56" s="3" t="s">
        <v>207</v>
      </c>
      <c r="BC56" s="11" t="s">
        <v>10</v>
      </c>
      <c r="BD56" s="52"/>
      <c r="BE56" s="20" t="s">
        <v>173</v>
      </c>
      <c r="BF56" s="3" t="s">
        <v>207</v>
      </c>
      <c r="BG56" s="11" t="s">
        <v>10</v>
      </c>
      <c r="BH56" s="52"/>
      <c r="BI56" s="20" t="s">
        <v>173</v>
      </c>
      <c r="BJ56" s="3" t="s">
        <v>207</v>
      </c>
      <c r="BK56" s="11" t="s">
        <v>10</v>
      </c>
      <c r="BL56" s="52"/>
      <c r="BM56" s="20" t="s">
        <v>173</v>
      </c>
      <c r="BN56" s="3" t="s">
        <v>207</v>
      </c>
      <c r="BO56" s="11" t="s">
        <v>10</v>
      </c>
      <c r="BP56" s="52"/>
      <c r="BQ56" s="20" t="s">
        <v>173</v>
      </c>
      <c r="BR56" s="3" t="s">
        <v>207</v>
      </c>
      <c r="BS56" s="11" t="s">
        <v>10</v>
      </c>
      <c r="BT56" s="154"/>
      <c r="BU56" s="20" t="s">
        <v>173</v>
      </c>
      <c r="BV56" s="3" t="s">
        <v>207</v>
      </c>
      <c r="BW56" s="11" t="s">
        <v>10</v>
      </c>
      <c r="BX56" s="52"/>
      <c r="BY56" s="253"/>
      <c r="BZ56" s="20" t="s">
        <v>173</v>
      </c>
      <c r="CA56" s="3" t="s">
        <v>207</v>
      </c>
      <c r="CB56" s="11" t="s">
        <v>10</v>
      </c>
      <c r="CC56" s="52"/>
    </row>
    <row r="57" spans="1:81" ht="13.5" customHeight="1">
      <c r="A57" s="20" t="s">
        <v>176</v>
      </c>
      <c r="B57" s="3" t="s">
        <v>46</v>
      </c>
      <c r="C57" s="11" t="s">
        <v>13</v>
      </c>
      <c r="D57" s="60">
        <f t="shared" si="1"/>
        <v>0.042</v>
      </c>
      <c r="E57" s="68" t="e">
        <f>#REF!+#REF!+#REF!+#REF!+#REF!+#REF!+#REF!+#REF!+#REF!+#REF!+#REF!+#REF!+#REF!+#REF!+#REF!+#REF!+#REF!+#REF!</f>
        <v>#REF!</v>
      </c>
      <c r="F57" s="77" t="e">
        <f>#REF!+#REF!+#REF!+#REF!+#REF!+#REF!+#REF!+#REF!+#REF!+#REF!+#REF!+#REF!+#REF!+#REF!+#REF!+#REF!+#REF!+#REF!</f>
        <v>#REF!</v>
      </c>
      <c r="G57" s="259" t="e">
        <f>E57/D57*100</f>
        <v>#REF!</v>
      </c>
      <c r="I57" s="20" t="s">
        <v>176</v>
      </c>
      <c r="J57" s="3" t="s">
        <v>46</v>
      </c>
      <c r="K57" s="11" t="s">
        <v>13</v>
      </c>
      <c r="L57" s="733">
        <v>0.005</v>
      </c>
      <c r="M57" s="20" t="s">
        <v>176</v>
      </c>
      <c r="N57" s="3" t="s">
        <v>46</v>
      </c>
      <c r="O57" s="11" t="s">
        <v>13</v>
      </c>
      <c r="P57" s="60">
        <v>0.01</v>
      </c>
      <c r="Q57" s="20" t="s">
        <v>176</v>
      </c>
      <c r="R57" s="3" t="s">
        <v>46</v>
      </c>
      <c r="S57" s="11" t="s">
        <v>13</v>
      </c>
      <c r="T57" s="60"/>
      <c r="U57" s="20" t="s">
        <v>176</v>
      </c>
      <c r="V57" s="3" t="s">
        <v>46</v>
      </c>
      <c r="W57" s="11" t="s">
        <v>13</v>
      </c>
      <c r="X57" s="60"/>
      <c r="Y57" s="20" t="s">
        <v>176</v>
      </c>
      <c r="Z57" s="3" t="s">
        <v>46</v>
      </c>
      <c r="AA57" s="11" t="s">
        <v>13</v>
      </c>
      <c r="AB57" s="60"/>
      <c r="AC57" s="20" t="s">
        <v>176</v>
      </c>
      <c r="AD57" s="3" t="s">
        <v>46</v>
      </c>
      <c r="AE57" s="11" t="s">
        <v>13</v>
      </c>
      <c r="AF57" s="60"/>
      <c r="AG57" s="20" t="s">
        <v>176</v>
      </c>
      <c r="AH57" s="3" t="s">
        <v>46</v>
      </c>
      <c r="AI57" s="11" t="s">
        <v>13</v>
      </c>
      <c r="AJ57" s="60">
        <v>0.006</v>
      </c>
      <c r="AK57" s="20" t="s">
        <v>176</v>
      </c>
      <c r="AL57" s="3" t="s">
        <v>46</v>
      </c>
      <c r="AM57" s="11" t="s">
        <v>13</v>
      </c>
      <c r="AN57" s="60">
        <v>0.002</v>
      </c>
      <c r="AO57" s="20" t="s">
        <v>176</v>
      </c>
      <c r="AP57" s="3" t="s">
        <v>46</v>
      </c>
      <c r="AQ57" s="11" t="s">
        <v>13</v>
      </c>
      <c r="AR57" s="60"/>
      <c r="AS57" s="20" t="s">
        <v>176</v>
      </c>
      <c r="AT57" s="3" t="s">
        <v>46</v>
      </c>
      <c r="AU57" s="11" t="s">
        <v>13</v>
      </c>
      <c r="AV57" s="60">
        <v>0.005</v>
      </c>
      <c r="AW57" s="20" t="s">
        <v>176</v>
      </c>
      <c r="AX57" s="3" t="s">
        <v>46</v>
      </c>
      <c r="AY57" s="11" t="s">
        <v>13</v>
      </c>
      <c r="AZ57" s="60">
        <v>0.006</v>
      </c>
      <c r="BA57" s="20" t="s">
        <v>176</v>
      </c>
      <c r="BB57" s="3" t="s">
        <v>46</v>
      </c>
      <c r="BC57" s="11" t="s">
        <v>13</v>
      </c>
      <c r="BD57" s="60">
        <v>0.002</v>
      </c>
      <c r="BE57" s="20" t="s">
        <v>176</v>
      </c>
      <c r="BF57" s="3" t="s">
        <v>46</v>
      </c>
      <c r="BG57" s="11" t="s">
        <v>13</v>
      </c>
      <c r="BH57" s="60"/>
      <c r="BI57" s="20" t="s">
        <v>176</v>
      </c>
      <c r="BJ57" s="3" t="s">
        <v>46</v>
      </c>
      <c r="BK57" s="11" t="s">
        <v>13</v>
      </c>
      <c r="BL57" s="60"/>
      <c r="BM57" s="20" t="s">
        <v>176</v>
      </c>
      <c r="BN57" s="3" t="s">
        <v>46</v>
      </c>
      <c r="BO57" s="11" t="s">
        <v>13</v>
      </c>
      <c r="BP57" s="60">
        <v>0.006</v>
      </c>
      <c r="BQ57" s="20" t="s">
        <v>176</v>
      </c>
      <c r="BR57" s="3" t="s">
        <v>46</v>
      </c>
      <c r="BS57" s="11" t="s">
        <v>13</v>
      </c>
      <c r="BT57" s="153"/>
      <c r="BU57" s="20" t="s">
        <v>176</v>
      </c>
      <c r="BV57" s="3" t="s">
        <v>46</v>
      </c>
      <c r="BW57" s="11" t="s">
        <v>13</v>
      </c>
      <c r="BX57" s="60"/>
      <c r="BY57" s="253"/>
      <c r="BZ57" s="20" t="s">
        <v>176</v>
      </c>
      <c r="CA57" s="3" t="s">
        <v>46</v>
      </c>
      <c r="CB57" s="11" t="s">
        <v>13</v>
      </c>
      <c r="CC57" s="60"/>
    </row>
    <row r="58" spans="1:81" ht="12.75">
      <c r="A58" s="20" t="s">
        <v>177</v>
      </c>
      <c r="B58" s="3" t="s">
        <v>38</v>
      </c>
      <c r="C58" s="11" t="s">
        <v>10</v>
      </c>
      <c r="D58" s="52">
        <f t="shared" si="1"/>
        <v>7</v>
      </c>
      <c r="E58" s="68" t="e">
        <f>#REF!+#REF!+#REF!+#REF!+#REF!+#REF!+#REF!+#REF!+#REF!+#REF!+#REF!+#REF!+#REF!+#REF!+#REF!+#REF!+#REF!+#REF!</f>
        <v>#REF!</v>
      </c>
      <c r="F58" s="77" t="e">
        <f>#REF!+#REF!+#REF!+#REF!+#REF!+#REF!+#REF!+#REF!+#REF!+#REF!+#REF!+#REF!+#REF!+#REF!+#REF!+#REF!+#REF!+#REF!</f>
        <v>#REF!</v>
      </c>
      <c r="G58" s="259" t="e">
        <f>E58/D58*100</f>
        <v>#REF!</v>
      </c>
      <c r="I58" s="20" t="s">
        <v>177</v>
      </c>
      <c r="J58" s="3" t="s">
        <v>38</v>
      </c>
      <c r="K58" s="11" t="s">
        <v>10</v>
      </c>
      <c r="L58" s="678"/>
      <c r="M58" s="20" t="s">
        <v>177</v>
      </c>
      <c r="N58" s="3" t="s">
        <v>38</v>
      </c>
      <c r="O58" s="11" t="s">
        <v>10</v>
      </c>
      <c r="P58" s="52"/>
      <c r="Q58" s="20" t="s">
        <v>177</v>
      </c>
      <c r="R58" s="3" t="s">
        <v>38</v>
      </c>
      <c r="S58" s="11" t="s">
        <v>10</v>
      </c>
      <c r="T58" s="376">
        <v>1</v>
      </c>
      <c r="U58" s="20" t="s">
        <v>177</v>
      </c>
      <c r="V58" s="3" t="s">
        <v>38</v>
      </c>
      <c r="W58" s="11" t="s">
        <v>10</v>
      </c>
      <c r="X58" s="52"/>
      <c r="Y58" s="20" t="s">
        <v>177</v>
      </c>
      <c r="Z58" s="3" t="s">
        <v>38</v>
      </c>
      <c r="AA58" s="11" t="s">
        <v>10</v>
      </c>
      <c r="AB58" s="52"/>
      <c r="AC58" s="20" t="s">
        <v>177</v>
      </c>
      <c r="AD58" s="3" t="s">
        <v>38</v>
      </c>
      <c r="AE58" s="11" t="s">
        <v>10</v>
      </c>
      <c r="AF58" s="52"/>
      <c r="AG58" s="20" t="s">
        <v>177</v>
      </c>
      <c r="AH58" s="3" t="s">
        <v>38</v>
      </c>
      <c r="AI58" s="11" t="s">
        <v>10</v>
      </c>
      <c r="AJ58" s="52"/>
      <c r="AK58" s="20" t="s">
        <v>177</v>
      </c>
      <c r="AL58" s="3" t="s">
        <v>38</v>
      </c>
      <c r="AM58" s="11" t="s">
        <v>10</v>
      </c>
      <c r="AN58" s="52"/>
      <c r="AO58" s="20" t="s">
        <v>177</v>
      </c>
      <c r="AP58" s="3" t="s">
        <v>38</v>
      </c>
      <c r="AQ58" s="11" t="s">
        <v>10</v>
      </c>
      <c r="AR58" s="52">
        <v>2</v>
      </c>
      <c r="AS58" s="20" t="s">
        <v>177</v>
      </c>
      <c r="AT58" s="3" t="s">
        <v>38</v>
      </c>
      <c r="AU58" s="11" t="s">
        <v>10</v>
      </c>
      <c r="AV58" s="52"/>
      <c r="AW58" s="20" t="s">
        <v>177</v>
      </c>
      <c r="AX58" s="3" t="s">
        <v>38</v>
      </c>
      <c r="AY58" s="11" t="s">
        <v>10</v>
      </c>
      <c r="AZ58" s="52"/>
      <c r="BA58" s="20" t="s">
        <v>177</v>
      </c>
      <c r="BB58" s="3" t="s">
        <v>38</v>
      </c>
      <c r="BC58" s="11" t="s">
        <v>10</v>
      </c>
      <c r="BD58" s="52"/>
      <c r="BE58" s="20" t="s">
        <v>177</v>
      </c>
      <c r="BF58" s="3" t="s">
        <v>38</v>
      </c>
      <c r="BG58" s="11" t="s">
        <v>10</v>
      </c>
      <c r="BH58" s="52"/>
      <c r="BI58" s="20" t="s">
        <v>177</v>
      </c>
      <c r="BJ58" s="3" t="s">
        <v>38</v>
      </c>
      <c r="BK58" s="11" t="s">
        <v>10</v>
      </c>
      <c r="BL58" s="52">
        <v>1</v>
      </c>
      <c r="BM58" s="20" t="s">
        <v>177</v>
      </c>
      <c r="BN58" s="3" t="s">
        <v>38</v>
      </c>
      <c r="BO58" s="11" t="s">
        <v>10</v>
      </c>
      <c r="BP58" s="52">
        <v>1</v>
      </c>
      <c r="BQ58" s="20" t="s">
        <v>177</v>
      </c>
      <c r="BR58" s="3" t="s">
        <v>38</v>
      </c>
      <c r="BS58" s="11" t="s">
        <v>10</v>
      </c>
      <c r="BT58" s="154">
        <v>1</v>
      </c>
      <c r="BU58" s="20" t="s">
        <v>177</v>
      </c>
      <c r="BV58" s="3" t="s">
        <v>38</v>
      </c>
      <c r="BW58" s="11" t="s">
        <v>10</v>
      </c>
      <c r="BX58" s="52">
        <v>1</v>
      </c>
      <c r="BY58" s="253"/>
      <c r="BZ58" s="20" t="s">
        <v>177</v>
      </c>
      <c r="CA58" s="3" t="s">
        <v>38</v>
      </c>
      <c r="CB58" s="11" t="s">
        <v>10</v>
      </c>
      <c r="CC58" s="52"/>
    </row>
    <row r="59" spans="1:81" ht="12.75">
      <c r="A59" s="143" t="s">
        <v>178</v>
      </c>
      <c r="B59" s="3" t="s">
        <v>351</v>
      </c>
      <c r="C59" s="11" t="s">
        <v>10</v>
      </c>
      <c r="D59" s="52">
        <f t="shared" si="1"/>
        <v>20</v>
      </c>
      <c r="E59" s="68" t="e">
        <f>#REF!+#REF!+#REF!+#REF!+#REF!+#REF!+#REF!+#REF!+#REF!+#REF!+#REF!+#REF!+#REF!+#REF!+#REF!+#REF!+#REF!+#REF!</f>
        <v>#REF!</v>
      </c>
      <c r="F59" s="77" t="e">
        <f>#REF!+#REF!+#REF!+#REF!+#REF!+#REF!+#REF!+#REF!+#REF!+#REF!+#REF!+#REF!+#REF!+#REF!+#REF!+#REF!+#REF!+#REF!</f>
        <v>#REF!</v>
      </c>
      <c r="G59" s="259"/>
      <c r="I59" s="143" t="s">
        <v>178</v>
      </c>
      <c r="J59" s="3" t="s">
        <v>351</v>
      </c>
      <c r="K59" s="11" t="s">
        <v>10</v>
      </c>
      <c r="L59" s="678"/>
      <c r="M59" s="143" t="s">
        <v>178</v>
      </c>
      <c r="N59" s="3" t="s">
        <v>351</v>
      </c>
      <c r="O59" s="11" t="s">
        <v>10</v>
      </c>
      <c r="P59" s="52"/>
      <c r="Q59" s="143" t="s">
        <v>178</v>
      </c>
      <c r="R59" s="3" t="s">
        <v>351</v>
      </c>
      <c r="S59" s="11" t="s">
        <v>10</v>
      </c>
      <c r="T59" s="52"/>
      <c r="U59" s="143" t="s">
        <v>178</v>
      </c>
      <c r="V59" s="3" t="s">
        <v>351</v>
      </c>
      <c r="W59" s="11" t="s">
        <v>10</v>
      </c>
      <c r="X59" s="52">
        <v>2</v>
      </c>
      <c r="Y59" s="143" t="s">
        <v>178</v>
      </c>
      <c r="Z59" s="3" t="s">
        <v>351</v>
      </c>
      <c r="AA59" s="11" t="s">
        <v>10</v>
      </c>
      <c r="AB59" s="52">
        <v>1</v>
      </c>
      <c r="AC59" s="143" t="s">
        <v>178</v>
      </c>
      <c r="AD59" s="3" t="s">
        <v>351</v>
      </c>
      <c r="AE59" s="11" t="s">
        <v>10</v>
      </c>
      <c r="AF59" s="52"/>
      <c r="AG59" s="143" t="s">
        <v>178</v>
      </c>
      <c r="AH59" s="3" t="s">
        <v>351</v>
      </c>
      <c r="AI59" s="11" t="s">
        <v>10</v>
      </c>
      <c r="AJ59" s="376">
        <v>4</v>
      </c>
      <c r="AK59" s="143" t="s">
        <v>178</v>
      </c>
      <c r="AL59" s="3" t="s">
        <v>351</v>
      </c>
      <c r="AM59" s="11" t="s">
        <v>10</v>
      </c>
      <c r="AN59" s="52"/>
      <c r="AO59" s="143" t="s">
        <v>178</v>
      </c>
      <c r="AP59" s="3" t="s">
        <v>351</v>
      </c>
      <c r="AQ59" s="11" t="s">
        <v>10</v>
      </c>
      <c r="AR59" s="52">
        <v>1</v>
      </c>
      <c r="AS59" s="143" t="s">
        <v>178</v>
      </c>
      <c r="AT59" s="3" t="s">
        <v>351</v>
      </c>
      <c r="AU59" s="11" t="s">
        <v>10</v>
      </c>
      <c r="AV59" s="376">
        <v>3</v>
      </c>
      <c r="AW59" s="143" t="s">
        <v>178</v>
      </c>
      <c r="AX59" s="3" t="s">
        <v>351</v>
      </c>
      <c r="AY59" s="11" t="s">
        <v>10</v>
      </c>
      <c r="AZ59" s="376">
        <v>3</v>
      </c>
      <c r="BA59" s="143" t="s">
        <v>178</v>
      </c>
      <c r="BB59" s="3" t="s">
        <v>351</v>
      </c>
      <c r="BC59" s="11" t="s">
        <v>10</v>
      </c>
      <c r="BD59" s="52">
        <v>4</v>
      </c>
      <c r="BE59" s="143" t="s">
        <v>178</v>
      </c>
      <c r="BF59" s="3" t="s">
        <v>351</v>
      </c>
      <c r="BG59" s="11" t="s">
        <v>10</v>
      </c>
      <c r="BH59" s="376">
        <v>1</v>
      </c>
      <c r="BI59" s="143" t="s">
        <v>178</v>
      </c>
      <c r="BJ59" s="3" t="s">
        <v>351</v>
      </c>
      <c r="BK59" s="11" t="s">
        <v>10</v>
      </c>
      <c r="BL59" s="52"/>
      <c r="BM59" s="143" t="s">
        <v>178</v>
      </c>
      <c r="BN59" s="3" t="s">
        <v>351</v>
      </c>
      <c r="BO59" s="11" t="s">
        <v>10</v>
      </c>
      <c r="BP59" s="376">
        <v>1</v>
      </c>
      <c r="BQ59" s="143" t="s">
        <v>178</v>
      </c>
      <c r="BR59" s="3" t="s">
        <v>351</v>
      </c>
      <c r="BS59" s="11" t="s">
        <v>10</v>
      </c>
      <c r="BT59" s="154"/>
      <c r="BU59" s="143" t="s">
        <v>178</v>
      </c>
      <c r="BV59" s="3" t="s">
        <v>351</v>
      </c>
      <c r="BW59" s="11" t="s">
        <v>10</v>
      </c>
      <c r="BX59" s="52"/>
      <c r="BY59" s="253"/>
      <c r="BZ59" s="143" t="s">
        <v>178</v>
      </c>
      <c r="CA59" s="3" t="s">
        <v>351</v>
      </c>
      <c r="CB59" s="11" t="s">
        <v>10</v>
      </c>
      <c r="CC59" s="52"/>
    </row>
    <row r="60" spans="1:81" ht="12.75">
      <c r="A60" s="20" t="s">
        <v>142</v>
      </c>
      <c r="B60" s="3" t="s">
        <v>40</v>
      </c>
      <c r="C60" s="11" t="s">
        <v>20</v>
      </c>
      <c r="D60" s="52">
        <f t="shared" si="1"/>
        <v>26</v>
      </c>
      <c r="E60" s="68" t="e">
        <f>#REF!+#REF!+#REF!+#REF!+#REF!+#REF!+#REF!+#REF!+#REF!+#REF!+#REF!+#REF!+#REF!+#REF!+#REF!+#REF!+#REF!+#REF!</f>
        <v>#REF!</v>
      </c>
      <c r="F60" s="77" t="e">
        <f>#REF!+#REF!+#REF!+#REF!+#REF!+#REF!+#REF!+#REF!+#REF!+#REF!+#REF!+#REF!+#REF!+#REF!+#REF!+#REF!+#REF!+#REF!</f>
        <v>#REF!</v>
      </c>
      <c r="G60" s="259" t="e">
        <f>E60/D60*100</f>
        <v>#REF!</v>
      </c>
      <c r="I60" s="20" t="s">
        <v>142</v>
      </c>
      <c r="J60" s="3" t="s">
        <v>40</v>
      </c>
      <c r="K60" s="11" t="s">
        <v>20</v>
      </c>
      <c r="L60" s="678">
        <v>1</v>
      </c>
      <c r="M60" s="20" t="s">
        <v>142</v>
      </c>
      <c r="N60" s="3" t="s">
        <v>40</v>
      </c>
      <c r="O60" s="11" t="s">
        <v>20</v>
      </c>
      <c r="P60" s="376">
        <v>7</v>
      </c>
      <c r="Q60" s="20" t="s">
        <v>142</v>
      </c>
      <c r="R60" s="3" t="s">
        <v>40</v>
      </c>
      <c r="S60" s="11" t="s">
        <v>20</v>
      </c>
      <c r="T60" s="376">
        <v>2</v>
      </c>
      <c r="U60" s="20" t="s">
        <v>142</v>
      </c>
      <c r="V60" s="3" t="s">
        <v>40</v>
      </c>
      <c r="W60" s="11" t="s">
        <v>20</v>
      </c>
      <c r="X60" s="376">
        <v>2</v>
      </c>
      <c r="Y60" s="20" t="s">
        <v>142</v>
      </c>
      <c r="Z60" s="3" t="s">
        <v>40</v>
      </c>
      <c r="AA60" s="11" t="s">
        <v>20</v>
      </c>
      <c r="AB60" s="52"/>
      <c r="AC60" s="20" t="s">
        <v>142</v>
      </c>
      <c r="AD60" s="3" t="s">
        <v>40</v>
      </c>
      <c r="AE60" s="11" t="s">
        <v>20</v>
      </c>
      <c r="AF60" s="52"/>
      <c r="AG60" s="20" t="s">
        <v>142</v>
      </c>
      <c r="AH60" s="3" t="s">
        <v>40</v>
      </c>
      <c r="AI60" s="11" t="s">
        <v>20</v>
      </c>
      <c r="AJ60" s="52">
        <v>4</v>
      </c>
      <c r="AK60" s="20" t="s">
        <v>142</v>
      </c>
      <c r="AL60" s="3" t="s">
        <v>40</v>
      </c>
      <c r="AM60" s="11" t="s">
        <v>20</v>
      </c>
      <c r="AN60" s="52">
        <v>1</v>
      </c>
      <c r="AO60" s="20" t="s">
        <v>142</v>
      </c>
      <c r="AP60" s="3" t="s">
        <v>40</v>
      </c>
      <c r="AQ60" s="11" t="s">
        <v>20</v>
      </c>
      <c r="AR60" s="52">
        <v>2</v>
      </c>
      <c r="AS60" s="20" t="s">
        <v>142</v>
      </c>
      <c r="AT60" s="3" t="s">
        <v>40</v>
      </c>
      <c r="AU60" s="11" t="s">
        <v>20</v>
      </c>
      <c r="AV60" s="376">
        <v>2</v>
      </c>
      <c r="AW60" s="20" t="s">
        <v>142</v>
      </c>
      <c r="AX60" s="3" t="s">
        <v>40</v>
      </c>
      <c r="AY60" s="11" t="s">
        <v>20</v>
      </c>
      <c r="AZ60" s="52"/>
      <c r="BA60" s="20" t="s">
        <v>142</v>
      </c>
      <c r="BB60" s="3" t="s">
        <v>40</v>
      </c>
      <c r="BC60" s="11" t="s">
        <v>20</v>
      </c>
      <c r="BD60" s="52"/>
      <c r="BE60" s="20" t="s">
        <v>142</v>
      </c>
      <c r="BF60" s="3" t="s">
        <v>40</v>
      </c>
      <c r="BG60" s="11" t="s">
        <v>20</v>
      </c>
      <c r="BH60" s="376">
        <v>1</v>
      </c>
      <c r="BI60" s="20" t="s">
        <v>142</v>
      </c>
      <c r="BJ60" s="3" t="s">
        <v>40</v>
      </c>
      <c r="BK60" s="11" t="s">
        <v>20</v>
      </c>
      <c r="BL60" s="52"/>
      <c r="BM60" s="20" t="s">
        <v>142</v>
      </c>
      <c r="BN60" s="3" t="s">
        <v>40</v>
      </c>
      <c r="BO60" s="11" t="s">
        <v>20</v>
      </c>
      <c r="BP60" s="52"/>
      <c r="BQ60" s="20" t="s">
        <v>142</v>
      </c>
      <c r="BR60" s="3" t="s">
        <v>40</v>
      </c>
      <c r="BS60" s="11" t="s">
        <v>20</v>
      </c>
      <c r="BT60" s="376">
        <v>4</v>
      </c>
      <c r="BU60" s="20" t="s">
        <v>142</v>
      </c>
      <c r="BV60" s="3" t="s">
        <v>40</v>
      </c>
      <c r="BW60" s="11" t="s">
        <v>20</v>
      </c>
      <c r="BX60" s="52"/>
      <c r="BY60" s="253"/>
      <c r="BZ60" s="20" t="s">
        <v>142</v>
      </c>
      <c r="CA60" s="3" t="s">
        <v>40</v>
      </c>
      <c r="CB60" s="11" t="s">
        <v>20</v>
      </c>
      <c r="CC60" s="52"/>
    </row>
    <row r="61" spans="1:81" ht="15" customHeight="1">
      <c r="A61" s="20" t="s">
        <v>143</v>
      </c>
      <c r="B61" s="3" t="s">
        <v>71</v>
      </c>
      <c r="C61" s="11" t="s">
        <v>20</v>
      </c>
      <c r="D61" s="52">
        <f t="shared" si="1"/>
        <v>1</v>
      </c>
      <c r="E61" s="68" t="e">
        <f>#REF!+#REF!+#REF!+#REF!+#REF!+#REF!+#REF!+#REF!+#REF!+#REF!+#REF!+#REF!+#REF!+#REF!+#REF!+#REF!+#REF!+#REF!</f>
        <v>#REF!</v>
      </c>
      <c r="F61" s="77" t="e">
        <f>#REF!+#REF!+#REF!+#REF!+#REF!+#REF!+#REF!+#REF!+#REF!+#REF!+#REF!+#REF!+#REF!+#REF!+#REF!+#REF!+#REF!+#REF!</f>
        <v>#REF!</v>
      </c>
      <c r="G61" s="259"/>
      <c r="I61" s="20" t="s">
        <v>143</v>
      </c>
      <c r="J61" s="3" t="s">
        <v>71</v>
      </c>
      <c r="K61" s="11" t="s">
        <v>20</v>
      </c>
      <c r="L61" s="678"/>
      <c r="M61" s="20" t="s">
        <v>143</v>
      </c>
      <c r="N61" s="3" t="s">
        <v>71</v>
      </c>
      <c r="O61" s="11" t="s">
        <v>20</v>
      </c>
      <c r="P61" s="52"/>
      <c r="Q61" s="20" t="s">
        <v>143</v>
      </c>
      <c r="R61" s="3" t="s">
        <v>71</v>
      </c>
      <c r="S61" s="11" t="s">
        <v>20</v>
      </c>
      <c r="T61" s="52"/>
      <c r="U61" s="20" t="s">
        <v>143</v>
      </c>
      <c r="V61" s="3" t="s">
        <v>71</v>
      </c>
      <c r="W61" s="11" t="s">
        <v>20</v>
      </c>
      <c r="X61" s="52"/>
      <c r="Y61" s="20" t="s">
        <v>143</v>
      </c>
      <c r="Z61" s="3" t="s">
        <v>71</v>
      </c>
      <c r="AA61" s="11" t="s">
        <v>20</v>
      </c>
      <c r="AB61" s="52"/>
      <c r="AC61" s="20" t="s">
        <v>143</v>
      </c>
      <c r="AD61" s="3" t="s">
        <v>71</v>
      </c>
      <c r="AE61" s="11" t="s">
        <v>20</v>
      </c>
      <c r="AF61" s="52"/>
      <c r="AG61" s="20" t="s">
        <v>143</v>
      </c>
      <c r="AH61" s="3" t="s">
        <v>71</v>
      </c>
      <c r="AI61" s="11" t="s">
        <v>20</v>
      </c>
      <c r="AJ61" s="52"/>
      <c r="AK61" s="20" t="s">
        <v>143</v>
      </c>
      <c r="AL61" s="3" t="s">
        <v>71</v>
      </c>
      <c r="AM61" s="11" t="s">
        <v>20</v>
      </c>
      <c r="AN61" s="52"/>
      <c r="AO61" s="20" t="s">
        <v>143</v>
      </c>
      <c r="AP61" s="3" t="s">
        <v>71</v>
      </c>
      <c r="AQ61" s="11" t="s">
        <v>20</v>
      </c>
      <c r="AR61" s="52"/>
      <c r="AS61" s="20" t="s">
        <v>143</v>
      </c>
      <c r="AT61" s="3" t="s">
        <v>71</v>
      </c>
      <c r="AU61" s="11" t="s">
        <v>20</v>
      </c>
      <c r="AV61" s="52"/>
      <c r="AW61" s="20" t="s">
        <v>143</v>
      </c>
      <c r="AX61" s="3" t="s">
        <v>71</v>
      </c>
      <c r="AY61" s="11" t="s">
        <v>20</v>
      </c>
      <c r="AZ61" s="52"/>
      <c r="BA61" s="20" t="s">
        <v>143</v>
      </c>
      <c r="BB61" s="3" t="s">
        <v>71</v>
      </c>
      <c r="BC61" s="11" t="s">
        <v>20</v>
      </c>
      <c r="BD61" s="52"/>
      <c r="BE61" s="20" t="s">
        <v>143</v>
      </c>
      <c r="BF61" s="3" t="s">
        <v>71</v>
      </c>
      <c r="BG61" s="11" t="s">
        <v>20</v>
      </c>
      <c r="BH61" s="52"/>
      <c r="BI61" s="20" t="s">
        <v>143</v>
      </c>
      <c r="BJ61" s="3" t="s">
        <v>71</v>
      </c>
      <c r="BK61" s="11" t="s">
        <v>20</v>
      </c>
      <c r="BL61" s="52"/>
      <c r="BM61" s="20" t="s">
        <v>143</v>
      </c>
      <c r="BN61" s="3" t="s">
        <v>71</v>
      </c>
      <c r="BO61" s="11" t="s">
        <v>20</v>
      </c>
      <c r="BP61" s="52"/>
      <c r="BQ61" s="20" t="s">
        <v>143</v>
      </c>
      <c r="BR61" s="3" t="s">
        <v>71</v>
      </c>
      <c r="BS61" s="11" t="s">
        <v>20</v>
      </c>
      <c r="BT61" s="376">
        <v>1</v>
      </c>
      <c r="BU61" s="20" t="s">
        <v>143</v>
      </c>
      <c r="BV61" s="3" t="s">
        <v>71</v>
      </c>
      <c r="BW61" s="11" t="s">
        <v>20</v>
      </c>
      <c r="BX61" s="52"/>
      <c r="BY61" s="253"/>
      <c r="BZ61" s="20" t="s">
        <v>143</v>
      </c>
      <c r="CA61" s="3" t="s">
        <v>71</v>
      </c>
      <c r="CB61" s="11" t="s">
        <v>20</v>
      </c>
      <c r="CC61" s="52"/>
    </row>
    <row r="62" spans="1:81" ht="15.75">
      <c r="A62" s="20" t="s">
        <v>144</v>
      </c>
      <c r="B62" s="110" t="s">
        <v>381</v>
      </c>
      <c r="C62" s="11" t="s">
        <v>23</v>
      </c>
      <c r="D62" s="52">
        <f t="shared" si="1"/>
        <v>12</v>
      </c>
      <c r="E62" s="68" t="e">
        <f>#REF!+#REF!+#REF!+#REF!+#REF!+#REF!+#REF!+#REF!+#REF!+#REF!+#REF!+#REF!+#REF!+#REF!+#REF!+#REF!+#REF!+#REF!</f>
        <v>#REF!</v>
      </c>
      <c r="F62" s="77" t="e">
        <f>#REF!+#REF!+#REF!+#REF!+#REF!+#REF!+#REF!+#REF!+#REF!+#REF!+#REF!+#REF!+#REF!+#REF!+#REF!+#REF!+#REF!+#REF!</f>
        <v>#REF!</v>
      </c>
      <c r="G62" s="259" t="e">
        <f>E62/D62*100</f>
        <v>#REF!</v>
      </c>
      <c r="I62" s="20" t="s">
        <v>144</v>
      </c>
      <c r="J62" s="110" t="s">
        <v>381</v>
      </c>
      <c r="K62" s="11" t="s">
        <v>23</v>
      </c>
      <c r="L62" s="678">
        <v>1</v>
      </c>
      <c r="M62" s="20" t="s">
        <v>144</v>
      </c>
      <c r="N62" s="110" t="s">
        <v>381</v>
      </c>
      <c r="O62" s="11" t="s">
        <v>23</v>
      </c>
      <c r="P62" s="52">
        <v>3</v>
      </c>
      <c r="Q62" s="20" t="s">
        <v>144</v>
      </c>
      <c r="R62" s="110" t="s">
        <v>381</v>
      </c>
      <c r="S62" s="11" t="s">
        <v>23</v>
      </c>
      <c r="T62" s="52"/>
      <c r="U62" s="20" t="s">
        <v>144</v>
      </c>
      <c r="V62" s="110" t="s">
        <v>381</v>
      </c>
      <c r="W62" s="11" t="s">
        <v>23</v>
      </c>
      <c r="X62" s="52">
        <v>1</v>
      </c>
      <c r="Y62" s="20" t="s">
        <v>144</v>
      </c>
      <c r="Z62" s="110" t="s">
        <v>381</v>
      </c>
      <c r="AA62" s="11" t="s">
        <v>23</v>
      </c>
      <c r="AB62" s="52"/>
      <c r="AC62" s="20" t="s">
        <v>144</v>
      </c>
      <c r="AD62" s="110" t="s">
        <v>381</v>
      </c>
      <c r="AE62" s="11" t="s">
        <v>23</v>
      </c>
      <c r="AF62" s="52"/>
      <c r="AG62" s="20" t="s">
        <v>144</v>
      </c>
      <c r="AH62" s="110" t="s">
        <v>381</v>
      </c>
      <c r="AI62" s="11" t="s">
        <v>23</v>
      </c>
      <c r="AJ62" s="52"/>
      <c r="AK62" s="20" t="s">
        <v>144</v>
      </c>
      <c r="AL62" s="110" t="s">
        <v>381</v>
      </c>
      <c r="AM62" s="11" t="s">
        <v>23</v>
      </c>
      <c r="AN62" s="52"/>
      <c r="AO62" s="20" t="s">
        <v>144</v>
      </c>
      <c r="AP62" s="110" t="s">
        <v>381</v>
      </c>
      <c r="AQ62" s="11" t="s">
        <v>23</v>
      </c>
      <c r="AR62" s="52"/>
      <c r="AS62" s="20" t="s">
        <v>144</v>
      </c>
      <c r="AT62" s="110" t="s">
        <v>381</v>
      </c>
      <c r="AU62" s="11" t="s">
        <v>23</v>
      </c>
      <c r="AV62" s="376">
        <v>2</v>
      </c>
      <c r="AW62" s="20" t="s">
        <v>144</v>
      </c>
      <c r="AX62" s="110" t="s">
        <v>381</v>
      </c>
      <c r="AY62" s="11" t="s">
        <v>23</v>
      </c>
      <c r="AZ62" s="52">
        <v>3</v>
      </c>
      <c r="BA62" s="20" t="s">
        <v>144</v>
      </c>
      <c r="BB62" s="110" t="s">
        <v>412</v>
      </c>
      <c r="BC62" s="11" t="s">
        <v>23</v>
      </c>
      <c r="BD62" s="52">
        <v>1</v>
      </c>
      <c r="BE62" s="20" t="s">
        <v>144</v>
      </c>
      <c r="BF62" s="110" t="s">
        <v>381</v>
      </c>
      <c r="BG62" s="11" t="s">
        <v>23</v>
      </c>
      <c r="BH62" s="52"/>
      <c r="BI62" s="20" t="s">
        <v>144</v>
      </c>
      <c r="BJ62" s="110" t="s">
        <v>381</v>
      </c>
      <c r="BK62" s="11" t="s">
        <v>23</v>
      </c>
      <c r="BL62" s="52"/>
      <c r="BM62" s="20" t="s">
        <v>144</v>
      </c>
      <c r="BN62" s="110" t="s">
        <v>381</v>
      </c>
      <c r="BO62" s="11" t="s">
        <v>23</v>
      </c>
      <c r="BP62" s="52">
        <v>1</v>
      </c>
      <c r="BQ62" s="20" t="s">
        <v>144</v>
      </c>
      <c r="BR62" s="110" t="s">
        <v>381</v>
      </c>
      <c r="BS62" s="11" t="s">
        <v>23</v>
      </c>
      <c r="BT62" s="154"/>
      <c r="BU62" s="20" t="s">
        <v>144</v>
      </c>
      <c r="BV62" s="110" t="s">
        <v>381</v>
      </c>
      <c r="BW62" s="11" t="s">
        <v>23</v>
      </c>
      <c r="BX62" s="52"/>
      <c r="BY62" s="253"/>
      <c r="BZ62" s="20" t="s">
        <v>144</v>
      </c>
      <c r="CA62" s="110" t="s">
        <v>381</v>
      </c>
      <c r="CB62" s="11" t="s">
        <v>23</v>
      </c>
      <c r="CC62" s="52"/>
    </row>
    <row r="63" spans="1:81" ht="15.75">
      <c r="A63" s="39"/>
      <c r="B63" s="41" t="s">
        <v>216</v>
      </c>
      <c r="C63" s="43"/>
      <c r="D63" s="40"/>
      <c r="E63" s="262"/>
      <c r="F63" s="106" t="e">
        <f>SUM(F53:F62)</f>
        <v>#REF!</v>
      </c>
      <c r="G63" s="263"/>
      <c r="I63" s="39"/>
      <c r="J63" s="41" t="s">
        <v>216</v>
      </c>
      <c r="K63" s="43"/>
      <c r="L63" s="160"/>
      <c r="M63" s="39"/>
      <c r="N63" s="41" t="s">
        <v>216</v>
      </c>
      <c r="O63" s="43"/>
      <c r="P63" s="160"/>
      <c r="Q63" s="39"/>
      <c r="R63" s="41" t="s">
        <v>216</v>
      </c>
      <c r="S63" s="43"/>
      <c r="T63" s="40"/>
      <c r="U63" s="39"/>
      <c r="V63" s="41" t="s">
        <v>216</v>
      </c>
      <c r="W63" s="43"/>
      <c r="X63" s="40"/>
      <c r="Y63" s="39"/>
      <c r="Z63" s="41" t="s">
        <v>216</v>
      </c>
      <c r="AA63" s="43"/>
      <c r="AB63" s="40"/>
      <c r="AC63" s="39"/>
      <c r="AD63" s="41" t="s">
        <v>216</v>
      </c>
      <c r="AE63" s="43"/>
      <c r="AF63" s="40"/>
      <c r="AG63" s="39"/>
      <c r="AH63" s="41" t="s">
        <v>216</v>
      </c>
      <c r="AI63" s="43"/>
      <c r="AJ63" s="40"/>
      <c r="AK63" s="39"/>
      <c r="AL63" s="41" t="s">
        <v>216</v>
      </c>
      <c r="AM63" s="43"/>
      <c r="AN63" s="40"/>
      <c r="AO63" s="39"/>
      <c r="AP63" s="41" t="s">
        <v>216</v>
      </c>
      <c r="AQ63" s="43"/>
      <c r="AR63" s="40"/>
      <c r="AS63" s="39"/>
      <c r="AT63" s="41" t="s">
        <v>216</v>
      </c>
      <c r="AU63" s="43"/>
      <c r="AV63" s="40"/>
      <c r="AW63" s="39"/>
      <c r="AX63" s="41" t="s">
        <v>216</v>
      </c>
      <c r="AY63" s="43"/>
      <c r="AZ63" s="40"/>
      <c r="BA63" s="39"/>
      <c r="BB63" s="41" t="s">
        <v>216</v>
      </c>
      <c r="BC63" s="43"/>
      <c r="BD63" s="40"/>
      <c r="BE63" s="39"/>
      <c r="BF63" s="41" t="s">
        <v>216</v>
      </c>
      <c r="BG63" s="43"/>
      <c r="BH63" s="40"/>
      <c r="BI63" s="39"/>
      <c r="BJ63" s="41" t="s">
        <v>216</v>
      </c>
      <c r="BK63" s="43"/>
      <c r="BL63" s="40"/>
      <c r="BM63" s="39"/>
      <c r="BN63" s="41" t="s">
        <v>216</v>
      </c>
      <c r="BO63" s="43"/>
      <c r="BP63" s="40"/>
      <c r="BQ63" s="39"/>
      <c r="BR63" s="41" t="s">
        <v>216</v>
      </c>
      <c r="BS63" s="43"/>
      <c r="BT63" s="265"/>
      <c r="BU63" s="39"/>
      <c r="BV63" s="41" t="s">
        <v>216</v>
      </c>
      <c r="BW63" s="43"/>
      <c r="BX63" s="40"/>
      <c r="BY63" s="247"/>
      <c r="BZ63" s="39"/>
      <c r="CA63" s="41" t="s">
        <v>216</v>
      </c>
      <c r="CB63" s="43"/>
      <c r="CC63" s="40"/>
    </row>
    <row r="64" spans="1:81" s="453" customFormat="1" ht="15.75" customHeight="1">
      <c r="A64" s="448"/>
      <c r="B64" s="372" t="s">
        <v>47</v>
      </c>
      <c r="C64" s="449"/>
      <c r="D64" s="450"/>
      <c r="E64" s="451"/>
      <c r="F64" s="451"/>
      <c r="G64" s="452"/>
      <c r="I64" s="448"/>
      <c r="J64" s="372" t="s">
        <v>47</v>
      </c>
      <c r="K64" s="449"/>
      <c r="L64" s="450"/>
      <c r="M64" s="448"/>
      <c r="N64" s="372" t="s">
        <v>47</v>
      </c>
      <c r="O64" s="449"/>
      <c r="P64" s="450"/>
      <c r="Q64" s="448"/>
      <c r="R64" s="372" t="s">
        <v>47</v>
      </c>
      <c r="S64" s="449"/>
      <c r="T64" s="454"/>
      <c r="U64" s="448"/>
      <c r="V64" s="372" t="s">
        <v>47</v>
      </c>
      <c r="W64" s="449"/>
      <c r="X64" s="454"/>
      <c r="Y64" s="448"/>
      <c r="Z64" s="372" t="s">
        <v>47</v>
      </c>
      <c r="AA64" s="449"/>
      <c r="AB64" s="454"/>
      <c r="AC64" s="448"/>
      <c r="AD64" s="372" t="s">
        <v>47</v>
      </c>
      <c r="AE64" s="449"/>
      <c r="AF64" s="454"/>
      <c r="AG64" s="448"/>
      <c r="AH64" s="372" t="s">
        <v>47</v>
      </c>
      <c r="AI64" s="449"/>
      <c r="AJ64" s="454"/>
      <c r="AK64" s="448"/>
      <c r="AL64" s="372" t="s">
        <v>47</v>
      </c>
      <c r="AM64" s="449"/>
      <c r="AN64" s="454"/>
      <c r="AO64" s="448"/>
      <c r="AP64" s="372" t="s">
        <v>47</v>
      </c>
      <c r="AQ64" s="449"/>
      <c r="AR64" s="454"/>
      <c r="AS64" s="448"/>
      <c r="AT64" s="372" t="s">
        <v>47</v>
      </c>
      <c r="AU64" s="449"/>
      <c r="AV64" s="454"/>
      <c r="AW64" s="448"/>
      <c r="AX64" s="372" t="s">
        <v>47</v>
      </c>
      <c r="AY64" s="449"/>
      <c r="AZ64" s="454"/>
      <c r="BA64" s="448"/>
      <c r="BB64" s="372" t="s">
        <v>47</v>
      </c>
      <c r="BC64" s="449"/>
      <c r="BD64" s="454"/>
      <c r="BE64" s="448"/>
      <c r="BF64" s="372" t="s">
        <v>47</v>
      </c>
      <c r="BG64" s="449"/>
      <c r="BH64" s="454"/>
      <c r="BI64" s="448"/>
      <c r="BJ64" s="372" t="s">
        <v>47</v>
      </c>
      <c r="BK64" s="449"/>
      <c r="BL64" s="454"/>
      <c r="BM64" s="448"/>
      <c r="BN64" s="372" t="s">
        <v>47</v>
      </c>
      <c r="BO64" s="449"/>
      <c r="BP64" s="454"/>
      <c r="BQ64" s="448"/>
      <c r="BR64" s="372" t="s">
        <v>47</v>
      </c>
      <c r="BS64" s="449"/>
      <c r="BT64" s="454"/>
      <c r="BU64" s="448"/>
      <c r="BV64" s="372" t="s">
        <v>47</v>
      </c>
      <c r="BW64" s="449"/>
      <c r="BX64" s="454"/>
      <c r="BY64" s="451"/>
      <c r="BZ64" s="448"/>
      <c r="CA64" s="372" t="s">
        <v>47</v>
      </c>
      <c r="CB64" s="449"/>
      <c r="CC64" s="454"/>
    </row>
    <row r="65" spans="1:81" s="423" customFormat="1" ht="30" customHeight="1">
      <c r="A65" s="425" t="s">
        <v>157</v>
      </c>
      <c r="B65" s="426" t="s">
        <v>382</v>
      </c>
      <c r="C65" s="427" t="s">
        <v>23</v>
      </c>
      <c r="D65" s="604">
        <f aca="true" t="shared" si="2" ref="D65:D81">L65+P65+T65+X65+AB65+AF65+AJ65+AN65+AR65+AV65+AZ65+BD65+BH65+BL65+BP65+BT65+BX65+CC65</f>
        <v>23</v>
      </c>
      <c r="E65" s="604" t="e">
        <f>#REF!+#REF!+#REF!+#REF!+#REF!+#REF!+#REF!+#REF!+#REF!+#REF!+#REF!+#REF!+#REF!+#REF!+#REF!+#REF!+#REF!+#REF!</f>
        <v>#REF!</v>
      </c>
      <c r="F65" s="605" t="e">
        <f>#REF!+#REF!+#REF!+#REF!+#REF!+#REF!+#REF!+#REF!+#REF!+#REF!+#REF!+#REF!+#REF!+#REF!+#REF!+#REF!+#REF!+#REF!</f>
        <v>#REF!</v>
      </c>
      <c r="G65" s="432" t="e">
        <f>E65/D65*100</f>
        <v>#REF!</v>
      </c>
      <c r="H65" s="580">
        <f>D65+D72</f>
        <v>182</v>
      </c>
      <c r="I65" s="425" t="s">
        <v>157</v>
      </c>
      <c r="J65" s="426" t="s">
        <v>382</v>
      </c>
      <c r="K65" s="427" t="s">
        <v>23</v>
      </c>
      <c r="L65" s="428">
        <f>L66</f>
        <v>1</v>
      </c>
      <c r="M65" s="425" t="s">
        <v>157</v>
      </c>
      <c r="N65" s="426" t="s">
        <v>382</v>
      </c>
      <c r="O65" s="427" t="s">
        <v>23</v>
      </c>
      <c r="P65" s="428">
        <f>P66</f>
        <v>1</v>
      </c>
      <c r="Q65" s="425" t="s">
        <v>157</v>
      </c>
      <c r="R65" s="426" t="s">
        <v>382</v>
      </c>
      <c r="S65" s="427" t="s">
        <v>23</v>
      </c>
      <c r="T65" s="428">
        <f>T66</f>
        <v>1</v>
      </c>
      <c r="U65" s="425" t="s">
        <v>157</v>
      </c>
      <c r="V65" s="426" t="s">
        <v>382</v>
      </c>
      <c r="W65" s="427" t="s">
        <v>23</v>
      </c>
      <c r="X65" s="428">
        <f>X66</f>
        <v>2</v>
      </c>
      <c r="Y65" s="425" t="s">
        <v>157</v>
      </c>
      <c r="Z65" s="426" t="s">
        <v>382</v>
      </c>
      <c r="AA65" s="427" t="s">
        <v>23</v>
      </c>
      <c r="AB65" s="428">
        <f>AB66</f>
        <v>1</v>
      </c>
      <c r="AC65" s="425" t="s">
        <v>157</v>
      </c>
      <c r="AD65" s="426" t="s">
        <v>382</v>
      </c>
      <c r="AE65" s="427" t="s">
        <v>23</v>
      </c>
      <c r="AF65" s="428">
        <f>AF66</f>
        <v>1</v>
      </c>
      <c r="AG65" s="425" t="s">
        <v>157</v>
      </c>
      <c r="AH65" s="426" t="s">
        <v>382</v>
      </c>
      <c r="AI65" s="427" t="s">
        <v>23</v>
      </c>
      <c r="AJ65" s="428">
        <f>AJ66</f>
        <v>1</v>
      </c>
      <c r="AK65" s="425" t="s">
        <v>157</v>
      </c>
      <c r="AL65" s="426" t="s">
        <v>382</v>
      </c>
      <c r="AM65" s="427" t="s">
        <v>23</v>
      </c>
      <c r="AN65" s="428">
        <f>AN66</f>
        <v>1</v>
      </c>
      <c r="AO65" s="425" t="s">
        <v>157</v>
      </c>
      <c r="AP65" s="426" t="s">
        <v>382</v>
      </c>
      <c r="AQ65" s="427" t="s">
        <v>23</v>
      </c>
      <c r="AR65" s="428">
        <f>AR66</f>
        <v>3</v>
      </c>
      <c r="AS65" s="425" t="s">
        <v>157</v>
      </c>
      <c r="AT65" s="426" t="s">
        <v>382</v>
      </c>
      <c r="AU65" s="427" t="s">
        <v>23</v>
      </c>
      <c r="AV65" s="428">
        <f>AV66</f>
        <v>1</v>
      </c>
      <c r="AW65" s="425" t="s">
        <v>157</v>
      </c>
      <c r="AX65" s="426" t="s">
        <v>382</v>
      </c>
      <c r="AY65" s="427" t="s">
        <v>23</v>
      </c>
      <c r="AZ65" s="428">
        <f>AZ66</f>
        <v>1</v>
      </c>
      <c r="BA65" s="425" t="s">
        <v>157</v>
      </c>
      <c r="BB65" s="426" t="s">
        <v>382</v>
      </c>
      <c r="BC65" s="427" t="s">
        <v>23</v>
      </c>
      <c r="BD65" s="428">
        <f>BD66</f>
        <v>2</v>
      </c>
      <c r="BE65" s="425" t="s">
        <v>157</v>
      </c>
      <c r="BF65" s="426" t="s">
        <v>382</v>
      </c>
      <c r="BG65" s="427" t="s">
        <v>23</v>
      </c>
      <c r="BH65" s="428">
        <f>BH66</f>
        <v>1</v>
      </c>
      <c r="BI65" s="425" t="s">
        <v>157</v>
      </c>
      <c r="BJ65" s="426" t="s">
        <v>382</v>
      </c>
      <c r="BK65" s="427" t="s">
        <v>23</v>
      </c>
      <c r="BL65" s="428">
        <f>BL66</f>
        <v>2</v>
      </c>
      <c r="BM65" s="425" t="s">
        <v>157</v>
      </c>
      <c r="BN65" s="426" t="s">
        <v>382</v>
      </c>
      <c r="BO65" s="427" t="s">
        <v>23</v>
      </c>
      <c r="BP65" s="428">
        <f>BP66</f>
        <v>1</v>
      </c>
      <c r="BQ65" s="425" t="s">
        <v>157</v>
      </c>
      <c r="BR65" s="426" t="s">
        <v>382</v>
      </c>
      <c r="BS65" s="427" t="s">
        <v>23</v>
      </c>
      <c r="BT65" s="428">
        <f>BT66</f>
        <v>2</v>
      </c>
      <c r="BU65" s="425" t="s">
        <v>157</v>
      </c>
      <c r="BV65" s="426" t="s">
        <v>382</v>
      </c>
      <c r="BW65" s="427" t="s">
        <v>23</v>
      </c>
      <c r="BX65" s="428">
        <f>BX66</f>
        <v>1</v>
      </c>
      <c r="BY65" s="429"/>
      <c r="BZ65" s="425" t="s">
        <v>157</v>
      </c>
      <c r="CA65" s="426" t="s">
        <v>382</v>
      </c>
      <c r="CB65" s="427" t="s">
        <v>23</v>
      </c>
      <c r="CC65" s="428"/>
    </row>
    <row r="66" spans="1:81" ht="12.75">
      <c r="A66" s="20" t="s">
        <v>179</v>
      </c>
      <c r="B66" s="3" t="s">
        <v>363</v>
      </c>
      <c r="C66" s="11" t="s">
        <v>215</v>
      </c>
      <c r="D66" s="52">
        <f t="shared" si="2"/>
        <v>23</v>
      </c>
      <c r="E66" s="68" t="e">
        <f>#REF!+#REF!+#REF!+#REF!+#REF!+#REF!+#REF!+#REF!+#REF!+#REF!+#REF!+#REF!+#REF!+#REF!+#REF!+#REF!+#REF!+#REF!</f>
        <v>#REF!</v>
      </c>
      <c r="F66" s="77" t="e">
        <f>#REF!+#REF!+#REF!+#REF!+#REF!+#REF!+#REF!+#REF!+#REF!+#REF!+#REF!+#REF!+#REF!+#REF!+#REF!+#REF!+#REF!+#REF!</f>
        <v>#REF!</v>
      </c>
      <c r="G66" s="259"/>
      <c r="I66" s="20" t="s">
        <v>179</v>
      </c>
      <c r="J66" s="3" t="s">
        <v>363</v>
      </c>
      <c r="K66" s="11" t="s">
        <v>215</v>
      </c>
      <c r="L66" s="678">
        <v>1</v>
      </c>
      <c r="M66" s="20" t="s">
        <v>179</v>
      </c>
      <c r="N66" s="3" t="s">
        <v>363</v>
      </c>
      <c r="O66" s="11" t="s">
        <v>215</v>
      </c>
      <c r="P66" s="52">
        <v>1</v>
      </c>
      <c r="Q66" s="20" t="s">
        <v>179</v>
      </c>
      <c r="R66" s="3" t="s">
        <v>363</v>
      </c>
      <c r="S66" s="11" t="s">
        <v>215</v>
      </c>
      <c r="T66" s="52">
        <v>1</v>
      </c>
      <c r="U66" s="20" t="s">
        <v>179</v>
      </c>
      <c r="V66" s="3" t="s">
        <v>363</v>
      </c>
      <c r="W66" s="11" t="s">
        <v>215</v>
      </c>
      <c r="X66" s="52">
        <v>2</v>
      </c>
      <c r="Y66" s="20" t="s">
        <v>179</v>
      </c>
      <c r="Z66" s="3" t="s">
        <v>363</v>
      </c>
      <c r="AA66" s="11" t="s">
        <v>215</v>
      </c>
      <c r="AB66" s="52">
        <v>1</v>
      </c>
      <c r="AC66" s="20" t="s">
        <v>179</v>
      </c>
      <c r="AD66" s="3" t="s">
        <v>363</v>
      </c>
      <c r="AE66" s="11" t="s">
        <v>215</v>
      </c>
      <c r="AF66" s="52">
        <v>1</v>
      </c>
      <c r="AG66" s="20" t="s">
        <v>179</v>
      </c>
      <c r="AH66" s="3" t="s">
        <v>363</v>
      </c>
      <c r="AI66" s="11" t="s">
        <v>215</v>
      </c>
      <c r="AJ66" s="52">
        <v>1</v>
      </c>
      <c r="AK66" s="20" t="s">
        <v>179</v>
      </c>
      <c r="AL66" s="3" t="s">
        <v>363</v>
      </c>
      <c r="AM66" s="11" t="s">
        <v>215</v>
      </c>
      <c r="AN66" s="52">
        <v>1</v>
      </c>
      <c r="AO66" s="20" t="s">
        <v>179</v>
      </c>
      <c r="AP66" s="3" t="s">
        <v>363</v>
      </c>
      <c r="AQ66" s="11" t="s">
        <v>215</v>
      </c>
      <c r="AR66" s="52">
        <v>3</v>
      </c>
      <c r="AS66" s="20" t="s">
        <v>179</v>
      </c>
      <c r="AT66" s="3" t="s">
        <v>363</v>
      </c>
      <c r="AU66" s="11" t="s">
        <v>215</v>
      </c>
      <c r="AV66" s="52">
        <v>1</v>
      </c>
      <c r="AW66" s="20" t="s">
        <v>179</v>
      </c>
      <c r="AX66" s="3" t="s">
        <v>363</v>
      </c>
      <c r="AY66" s="11" t="s">
        <v>215</v>
      </c>
      <c r="AZ66" s="52">
        <v>1</v>
      </c>
      <c r="BA66" s="20" t="s">
        <v>179</v>
      </c>
      <c r="BB66" s="3" t="s">
        <v>363</v>
      </c>
      <c r="BC66" s="11" t="s">
        <v>215</v>
      </c>
      <c r="BD66" s="52">
        <v>2</v>
      </c>
      <c r="BE66" s="20" t="s">
        <v>179</v>
      </c>
      <c r="BF66" s="3" t="s">
        <v>363</v>
      </c>
      <c r="BG66" s="11" t="s">
        <v>215</v>
      </c>
      <c r="BH66" s="52">
        <v>1</v>
      </c>
      <c r="BI66" s="20" t="s">
        <v>179</v>
      </c>
      <c r="BJ66" s="3" t="s">
        <v>363</v>
      </c>
      <c r="BK66" s="11" t="s">
        <v>215</v>
      </c>
      <c r="BL66" s="52">
        <v>2</v>
      </c>
      <c r="BM66" s="20" t="s">
        <v>179</v>
      </c>
      <c r="BN66" s="3" t="s">
        <v>363</v>
      </c>
      <c r="BO66" s="11" t="s">
        <v>215</v>
      </c>
      <c r="BP66" s="52">
        <v>1</v>
      </c>
      <c r="BQ66" s="20" t="s">
        <v>179</v>
      </c>
      <c r="BR66" s="3" t="s">
        <v>363</v>
      </c>
      <c r="BS66" s="11" t="s">
        <v>215</v>
      </c>
      <c r="BT66" s="154">
        <v>2</v>
      </c>
      <c r="BU66" s="20" t="s">
        <v>179</v>
      </c>
      <c r="BV66" s="3" t="s">
        <v>363</v>
      </c>
      <c r="BW66" s="11" t="s">
        <v>215</v>
      </c>
      <c r="BX66" s="52">
        <v>1</v>
      </c>
      <c r="BY66" s="253"/>
      <c r="BZ66" s="20" t="s">
        <v>179</v>
      </c>
      <c r="CA66" s="3" t="s">
        <v>363</v>
      </c>
      <c r="CB66" s="11" t="s">
        <v>215</v>
      </c>
      <c r="CC66" s="52"/>
    </row>
    <row r="67" spans="1:81" ht="12.75">
      <c r="A67" s="20" t="s">
        <v>180</v>
      </c>
      <c r="B67" s="3" t="s">
        <v>48</v>
      </c>
      <c r="C67" s="11" t="s">
        <v>20</v>
      </c>
      <c r="D67" s="52">
        <f t="shared" si="2"/>
        <v>25</v>
      </c>
      <c r="E67" s="68" t="e">
        <f>#REF!+#REF!+#REF!+#REF!+#REF!+#REF!+#REF!+#REF!+#REF!+#REF!+#REF!+#REF!+#REF!+#REF!+#REF!+#REF!+#REF!+#REF!</f>
        <v>#REF!</v>
      </c>
      <c r="F67" s="77" t="e">
        <f>#REF!+#REF!+#REF!+#REF!+#REF!+#REF!+#REF!+#REF!+#REF!+#REF!+#REF!+#REF!+#REF!+#REF!+#REF!+#REF!+#REF!+#REF!</f>
        <v>#REF!</v>
      </c>
      <c r="G67" s="259"/>
      <c r="I67" s="20" t="s">
        <v>180</v>
      </c>
      <c r="J67" s="3" t="s">
        <v>48</v>
      </c>
      <c r="K67" s="11" t="s">
        <v>20</v>
      </c>
      <c r="L67" s="678"/>
      <c r="M67" s="20" t="s">
        <v>180</v>
      </c>
      <c r="N67" s="3" t="s">
        <v>48</v>
      </c>
      <c r="O67" s="11" t="s">
        <v>20</v>
      </c>
      <c r="P67" s="52">
        <v>1</v>
      </c>
      <c r="Q67" s="20" t="s">
        <v>180</v>
      </c>
      <c r="R67" s="3" t="s">
        <v>48</v>
      </c>
      <c r="S67" s="11" t="s">
        <v>20</v>
      </c>
      <c r="T67" s="52"/>
      <c r="U67" s="20" t="s">
        <v>180</v>
      </c>
      <c r="V67" s="3" t="s">
        <v>48</v>
      </c>
      <c r="W67" s="11" t="s">
        <v>20</v>
      </c>
      <c r="X67" s="52"/>
      <c r="Y67" s="20" t="s">
        <v>180</v>
      </c>
      <c r="Z67" s="3" t="s">
        <v>48</v>
      </c>
      <c r="AA67" s="11" t="s">
        <v>20</v>
      </c>
      <c r="AB67" s="52"/>
      <c r="AC67" s="20" t="s">
        <v>180</v>
      </c>
      <c r="AD67" s="3" t="s">
        <v>48</v>
      </c>
      <c r="AE67" s="11" t="s">
        <v>20</v>
      </c>
      <c r="AF67" s="52"/>
      <c r="AG67" s="20" t="s">
        <v>180</v>
      </c>
      <c r="AH67" s="3" t="s">
        <v>48</v>
      </c>
      <c r="AI67" s="11" t="s">
        <v>20</v>
      </c>
      <c r="AJ67" s="52">
        <v>2</v>
      </c>
      <c r="AK67" s="20" t="s">
        <v>180</v>
      </c>
      <c r="AL67" s="3" t="s">
        <v>48</v>
      </c>
      <c r="AM67" s="11" t="s">
        <v>20</v>
      </c>
      <c r="AN67" s="52"/>
      <c r="AO67" s="20" t="s">
        <v>180</v>
      </c>
      <c r="AP67" s="3" t="s">
        <v>48</v>
      </c>
      <c r="AQ67" s="11" t="s">
        <v>20</v>
      </c>
      <c r="AR67" s="52"/>
      <c r="AS67" s="20" t="s">
        <v>180</v>
      </c>
      <c r="AT67" s="3" t="s">
        <v>48</v>
      </c>
      <c r="AU67" s="11" t="s">
        <v>20</v>
      </c>
      <c r="AV67" s="52">
        <v>2</v>
      </c>
      <c r="AW67" s="20" t="s">
        <v>180</v>
      </c>
      <c r="AX67" s="3" t="s">
        <v>48</v>
      </c>
      <c r="AY67" s="11" t="s">
        <v>20</v>
      </c>
      <c r="AZ67" s="52"/>
      <c r="BA67" s="20" t="s">
        <v>180</v>
      </c>
      <c r="BB67" s="3" t="s">
        <v>48</v>
      </c>
      <c r="BC67" s="11" t="s">
        <v>20</v>
      </c>
      <c r="BD67" s="52"/>
      <c r="BE67" s="20" t="s">
        <v>180</v>
      </c>
      <c r="BF67" s="3" t="s">
        <v>48</v>
      </c>
      <c r="BG67" s="11" t="s">
        <v>20</v>
      </c>
      <c r="BH67" s="52"/>
      <c r="BI67" s="20" t="s">
        <v>180</v>
      </c>
      <c r="BJ67" s="3" t="s">
        <v>48</v>
      </c>
      <c r="BK67" s="11" t="s">
        <v>20</v>
      </c>
      <c r="BL67" s="52">
        <v>6</v>
      </c>
      <c r="BM67" s="20" t="s">
        <v>180</v>
      </c>
      <c r="BN67" s="3" t="s">
        <v>48</v>
      </c>
      <c r="BO67" s="11" t="s">
        <v>20</v>
      </c>
      <c r="BP67" s="52">
        <v>7</v>
      </c>
      <c r="BQ67" s="20" t="s">
        <v>180</v>
      </c>
      <c r="BR67" s="3" t="s">
        <v>48</v>
      </c>
      <c r="BS67" s="11" t="s">
        <v>20</v>
      </c>
      <c r="BT67" s="154">
        <v>6</v>
      </c>
      <c r="BU67" s="20" t="s">
        <v>180</v>
      </c>
      <c r="BV67" s="3" t="s">
        <v>48</v>
      </c>
      <c r="BW67" s="11" t="s">
        <v>20</v>
      </c>
      <c r="BX67" s="52">
        <v>1</v>
      </c>
      <c r="BY67" s="253"/>
      <c r="BZ67" s="20" t="s">
        <v>180</v>
      </c>
      <c r="CA67" s="3" t="s">
        <v>48</v>
      </c>
      <c r="CB67" s="11" t="s">
        <v>20</v>
      </c>
      <c r="CC67" s="52"/>
    </row>
    <row r="68" spans="1:81" ht="12.75" hidden="1">
      <c r="A68" s="20" t="s">
        <v>181</v>
      </c>
      <c r="B68" s="3" t="s">
        <v>353</v>
      </c>
      <c r="C68" s="11" t="s">
        <v>20</v>
      </c>
      <c r="D68" s="52">
        <f t="shared" si="2"/>
        <v>0</v>
      </c>
      <c r="E68" s="68" t="e">
        <f>#REF!+#REF!+#REF!+#REF!+#REF!+#REF!+#REF!+#REF!+#REF!+#REF!+#REF!+#REF!+#REF!+#REF!+#REF!+#REF!+#REF!+#REF!</f>
        <v>#REF!</v>
      </c>
      <c r="F68" s="77" t="e">
        <f>#REF!+#REF!+#REF!+#REF!+#REF!+#REF!+#REF!+#REF!+#REF!+#REF!+#REF!+#REF!+#REF!+#REF!+#REF!+#REF!+#REF!+#REF!</f>
        <v>#REF!</v>
      </c>
      <c r="G68" s="259"/>
      <c r="I68" s="20" t="s">
        <v>181</v>
      </c>
      <c r="J68" s="3" t="s">
        <v>353</v>
      </c>
      <c r="K68" s="11" t="s">
        <v>20</v>
      </c>
      <c r="L68" s="678"/>
      <c r="M68" s="20" t="s">
        <v>181</v>
      </c>
      <c r="N68" s="3" t="s">
        <v>353</v>
      </c>
      <c r="O68" s="11" t="s">
        <v>20</v>
      </c>
      <c r="P68" s="52"/>
      <c r="Q68" s="20" t="s">
        <v>181</v>
      </c>
      <c r="R68" s="3" t="s">
        <v>353</v>
      </c>
      <c r="S68" s="11" t="s">
        <v>20</v>
      </c>
      <c r="T68" s="52"/>
      <c r="U68" s="20" t="s">
        <v>181</v>
      </c>
      <c r="V68" s="3" t="s">
        <v>353</v>
      </c>
      <c r="W68" s="11" t="s">
        <v>20</v>
      </c>
      <c r="X68" s="52"/>
      <c r="Y68" s="20" t="s">
        <v>181</v>
      </c>
      <c r="Z68" s="3" t="s">
        <v>353</v>
      </c>
      <c r="AA68" s="11" t="s">
        <v>20</v>
      </c>
      <c r="AB68" s="52"/>
      <c r="AC68" s="20" t="s">
        <v>181</v>
      </c>
      <c r="AD68" s="3" t="s">
        <v>353</v>
      </c>
      <c r="AE68" s="11" t="s">
        <v>20</v>
      </c>
      <c r="AF68" s="52"/>
      <c r="AG68" s="20" t="s">
        <v>181</v>
      </c>
      <c r="AH68" s="3" t="s">
        <v>353</v>
      </c>
      <c r="AI68" s="11" t="s">
        <v>20</v>
      </c>
      <c r="AJ68" s="52"/>
      <c r="AK68" s="20" t="s">
        <v>181</v>
      </c>
      <c r="AL68" s="3" t="s">
        <v>353</v>
      </c>
      <c r="AM68" s="11" t="s">
        <v>20</v>
      </c>
      <c r="AN68" s="52"/>
      <c r="AO68" s="20" t="s">
        <v>181</v>
      </c>
      <c r="AP68" s="3" t="s">
        <v>353</v>
      </c>
      <c r="AQ68" s="11" t="s">
        <v>20</v>
      </c>
      <c r="AR68" s="52"/>
      <c r="AS68" s="20" t="s">
        <v>181</v>
      </c>
      <c r="AT68" s="3" t="s">
        <v>353</v>
      </c>
      <c r="AU68" s="11" t="s">
        <v>20</v>
      </c>
      <c r="AV68" s="52"/>
      <c r="AW68" s="20" t="s">
        <v>181</v>
      </c>
      <c r="AX68" s="3" t="s">
        <v>353</v>
      </c>
      <c r="AY68" s="11" t="s">
        <v>20</v>
      </c>
      <c r="AZ68" s="52"/>
      <c r="BA68" s="20" t="s">
        <v>181</v>
      </c>
      <c r="BB68" s="3" t="s">
        <v>353</v>
      </c>
      <c r="BC68" s="11" t="s">
        <v>20</v>
      </c>
      <c r="BD68" s="52"/>
      <c r="BE68" s="20" t="s">
        <v>181</v>
      </c>
      <c r="BF68" s="3" t="s">
        <v>353</v>
      </c>
      <c r="BG68" s="11" t="s">
        <v>20</v>
      </c>
      <c r="BH68" s="52"/>
      <c r="BI68" s="20" t="s">
        <v>181</v>
      </c>
      <c r="BJ68" s="3" t="s">
        <v>353</v>
      </c>
      <c r="BK68" s="11" t="s">
        <v>20</v>
      </c>
      <c r="BL68" s="52"/>
      <c r="BM68" s="20" t="s">
        <v>181</v>
      </c>
      <c r="BN68" s="3" t="s">
        <v>353</v>
      </c>
      <c r="BO68" s="11" t="s">
        <v>20</v>
      </c>
      <c r="BP68" s="52"/>
      <c r="BQ68" s="20" t="s">
        <v>181</v>
      </c>
      <c r="BR68" s="3" t="s">
        <v>353</v>
      </c>
      <c r="BS68" s="11" t="s">
        <v>20</v>
      </c>
      <c r="BT68" s="154"/>
      <c r="BU68" s="20" t="s">
        <v>181</v>
      </c>
      <c r="BV68" s="3" t="s">
        <v>353</v>
      </c>
      <c r="BW68" s="11" t="s">
        <v>20</v>
      </c>
      <c r="BX68" s="52"/>
      <c r="BY68" s="253"/>
      <c r="BZ68" s="20" t="s">
        <v>181</v>
      </c>
      <c r="CA68" s="3" t="s">
        <v>353</v>
      </c>
      <c r="CB68" s="11" t="s">
        <v>20</v>
      </c>
      <c r="CC68" s="52"/>
    </row>
    <row r="69" spans="1:81" ht="12.75">
      <c r="A69" s="20" t="s">
        <v>182</v>
      </c>
      <c r="B69" s="3" t="s">
        <v>49</v>
      </c>
      <c r="C69" s="11" t="s">
        <v>10</v>
      </c>
      <c r="D69" s="52">
        <f t="shared" si="2"/>
        <v>36</v>
      </c>
      <c r="E69" s="68" t="e">
        <f>#REF!+#REF!+#REF!+#REF!+#REF!+#REF!+#REF!+#REF!+#REF!+#REF!+#REF!+#REF!+#REF!+#REF!+#REF!+#REF!+#REF!+#REF!</f>
        <v>#REF!</v>
      </c>
      <c r="F69" s="77" t="e">
        <f>#REF!+#REF!+#REF!+#REF!+#REF!+#REF!+#REF!+#REF!+#REF!+#REF!+#REF!+#REF!+#REF!+#REF!+#REF!+#REF!+#REF!+#REF!</f>
        <v>#REF!</v>
      </c>
      <c r="G69" s="259" t="e">
        <f>E69/D69*100</f>
        <v>#REF!</v>
      </c>
      <c r="H69" s="27" t="e">
        <f>#REF!/D69</f>
        <v>#REF!</v>
      </c>
      <c r="I69" s="20" t="s">
        <v>182</v>
      </c>
      <c r="J69" s="3" t="s">
        <v>49</v>
      </c>
      <c r="K69" s="11" t="s">
        <v>10</v>
      </c>
      <c r="L69" s="678"/>
      <c r="M69" s="20" t="s">
        <v>182</v>
      </c>
      <c r="N69" s="3" t="s">
        <v>49</v>
      </c>
      <c r="O69" s="11" t="s">
        <v>10</v>
      </c>
      <c r="P69" s="52"/>
      <c r="Q69" s="20" t="s">
        <v>182</v>
      </c>
      <c r="R69" s="3" t="s">
        <v>49</v>
      </c>
      <c r="S69" s="11" t="s">
        <v>10</v>
      </c>
      <c r="T69" s="52"/>
      <c r="U69" s="20" t="s">
        <v>182</v>
      </c>
      <c r="V69" s="3" t="s">
        <v>49</v>
      </c>
      <c r="W69" s="11" t="s">
        <v>10</v>
      </c>
      <c r="X69" s="52"/>
      <c r="Y69" s="20" t="s">
        <v>182</v>
      </c>
      <c r="Z69" s="3" t="s">
        <v>49</v>
      </c>
      <c r="AA69" s="11" t="s">
        <v>10</v>
      </c>
      <c r="AB69" s="52"/>
      <c r="AC69" s="20" t="s">
        <v>182</v>
      </c>
      <c r="AD69" s="3" t="s">
        <v>49</v>
      </c>
      <c r="AE69" s="11" t="s">
        <v>10</v>
      </c>
      <c r="AF69" s="52"/>
      <c r="AG69" s="20" t="s">
        <v>182</v>
      </c>
      <c r="AH69" s="3" t="s">
        <v>49</v>
      </c>
      <c r="AI69" s="11" t="s">
        <v>10</v>
      </c>
      <c r="AJ69" s="52"/>
      <c r="AK69" s="20" t="s">
        <v>182</v>
      </c>
      <c r="AL69" s="3" t="s">
        <v>49</v>
      </c>
      <c r="AM69" s="11" t="s">
        <v>10</v>
      </c>
      <c r="AN69" s="52"/>
      <c r="AO69" s="20" t="s">
        <v>182</v>
      </c>
      <c r="AP69" s="3" t="s">
        <v>49</v>
      </c>
      <c r="AQ69" s="11" t="s">
        <v>10</v>
      </c>
      <c r="AR69" s="52"/>
      <c r="AS69" s="20" t="s">
        <v>182</v>
      </c>
      <c r="AT69" s="3" t="s">
        <v>49</v>
      </c>
      <c r="AU69" s="11" t="s">
        <v>10</v>
      </c>
      <c r="AV69" s="52">
        <v>36</v>
      </c>
      <c r="AW69" s="20" t="s">
        <v>182</v>
      </c>
      <c r="AX69" s="3" t="s">
        <v>49</v>
      </c>
      <c r="AY69" s="11" t="s">
        <v>10</v>
      </c>
      <c r="AZ69" s="52"/>
      <c r="BA69" s="20" t="s">
        <v>182</v>
      </c>
      <c r="BB69" s="3" t="s">
        <v>49</v>
      </c>
      <c r="BC69" s="11" t="s">
        <v>10</v>
      </c>
      <c r="BD69" s="52"/>
      <c r="BE69" s="20" t="s">
        <v>182</v>
      </c>
      <c r="BF69" s="3" t="s">
        <v>49</v>
      </c>
      <c r="BG69" s="11" t="s">
        <v>10</v>
      </c>
      <c r="BH69" s="52"/>
      <c r="BI69" s="20" t="s">
        <v>182</v>
      </c>
      <c r="BJ69" s="3" t="s">
        <v>49</v>
      </c>
      <c r="BK69" s="11" t="s">
        <v>10</v>
      </c>
      <c r="BL69" s="52"/>
      <c r="BM69" s="20" t="s">
        <v>182</v>
      </c>
      <c r="BN69" s="3" t="s">
        <v>49</v>
      </c>
      <c r="BO69" s="11" t="s">
        <v>10</v>
      </c>
      <c r="BP69" s="52"/>
      <c r="BQ69" s="20" t="s">
        <v>182</v>
      </c>
      <c r="BR69" s="3" t="s">
        <v>49</v>
      </c>
      <c r="BS69" s="11" t="s">
        <v>10</v>
      </c>
      <c r="BT69" s="154"/>
      <c r="BU69" s="20" t="s">
        <v>182</v>
      </c>
      <c r="BV69" s="3" t="s">
        <v>49</v>
      </c>
      <c r="BW69" s="11" t="s">
        <v>10</v>
      </c>
      <c r="BX69" s="52"/>
      <c r="BY69" s="253"/>
      <c r="BZ69" s="20" t="s">
        <v>182</v>
      </c>
      <c r="CA69" s="3" t="s">
        <v>49</v>
      </c>
      <c r="CB69" s="11" t="s">
        <v>10</v>
      </c>
      <c r="CC69" s="52"/>
    </row>
    <row r="70" spans="1:81" ht="12.75">
      <c r="A70" s="20" t="s">
        <v>183</v>
      </c>
      <c r="B70" s="3" t="s">
        <v>38</v>
      </c>
      <c r="C70" s="11" t="s">
        <v>10</v>
      </c>
      <c r="D70" s="52">
        <f t="shared" si="2"/>
        <v>8</v>
      </c>
      <c r="E70" s="68" t="e">
        <f>#REF!+#REF!+#REF!+#REF!+#REF!+#REF!+#REF!+#REF!+#REF!+#REF!+#REF!+#REF!+#REF!+#REF!+#REF!+#REF!+#REF!+#REF!</f>
        <v>#REF!</v>
      </c>
      <c r="F70" s="77" t="e">
        <f>#REF!+#REF!+#REF!+#REF!+#REF!+#REF!+#REF!+#REF!+#REF!+#REF!+#REF!+#REF!+#REF!+#REF!+#REF!+#REF!+#REF!+#REF!</f>
        <v>#REF!</v>
      </c>
      <c r="G70" s="259" t="e">
        <f>E70/D70*100</f>
        <v>#REF!</v>
      </c>
      <c r="I70" s="20" t="s">
        <v>183</v>
      </c>
      <c r="J70" s="3" t="s">
        <v>38</v>
      </c>
      <c r="K70" s="11" t="s">
        <v>10</v>
      </c>
      <c r="L70" s="678"/>
      <c r="M70" s="20" t="s">
        <v>183</v>
      </c>
      <c r="N70" s="3" t="s">
        <v>38</v>
      </c>
      <c r="O70" s="11" t="s">
        <v>10</v>
      </c>
      <c r="P70" s="52"/>
      <c r="Q70" s="20" t="s">
        <v>183</v>
      </c>
      <c r="R70" s="3" t="s">
        <v>38</v>
      </c>
      <c r="S70" s="11" t="s">
        <v>10</v>
      </c>
      <c r="T70" s="52"/>
      <c r="U70" s="20" t="s">
        <v>183</v>
      </c>
      <c r="V70" s="3" t="s">
        <v>38</v>
      </c>
      <c r="W70" s="11" t="s">
        <v>10</v>
      </c>
      <c r="X70" s="52">
        <v>1</v>
      </c>
      <c r="Y70" s="20" t="s">
        <v>183</v>
      </c>
      <c r="Z70" s="3" t="s">
        <v>38</v>
      </c>
      <c r="AA70" s="11" t="s">
        <v>10</v>
      </c>
      <c r="AB70" s="52">
        <v>1</v>
      </c>
      <c r="AC70" s="20" t="s">
        <v>183</v>
      </c>
      <c r="AD70" s="3" t="s">
        <v>38</v>
      </c>
      <c r="AE70" s="11" t="s">
        <v>10</v>
      </c>
      <c r="AF70" s="52"/>
      <c r="AG70" s="20" t="s">
        <v>183</v>
      </c>
      <c r="AH70" s="3" t="s">
        <v>38</v>
      </c>
      <c r="AI70" s="11" t="s">
        <v>10</v>
      </c>
      <c r="AJ70" s="52"/>
      <c r="AK70" s="20" t="s">
        <v>183</v>
      </c>
      <c r="AL70" s="3" t="s">
        <v>38</v>
      </c>
      <c r="AM70" s="11" t="s">
        <v>10</v>
      </c>
      <c r="AN70" s="52"/>
      <c r="AO70" s="20" t="s">
        <v>183</v>
      </c>
      <c r="AP70" s="3" t="s">
        <v>38</v>
      </c>
      <c r="AQ70" s="11" t="s">
        <v>10</v>
      </c>
      <c r="AR70" s="52"/>
      <c r="AS70" s="20" t="s">
        <v>183</v>
      </c>
      <c r="AT70" s="3" t="s">
        <v>38</v>
      </c>
      <c r="AU70" s="11" t="s">
        <v>10</v>
      </c>
      <c r="AV70" s="52"/>
      <c r="AW70" s="20" t="s">
        <v>183</v>
      </c>
      <c r="AX70" s="3" t="s">
        <v>38</v>
      </c>
      <c r="AY70" s="11" t="s">
        <v>10</v>
      </c>
      <c r="AZ70" s="52"/>
      <c r="BA70" s="20" t="s">
        <v>183</v>
      </c>
      <c r="BB70" s="3" t="s">
        <v>38</v>
      </c>
      <c r="BC70" s="11" t="s">
        <v>10</v>
      </c>
      <c r="BD70" s="52">
        <v>2</v>
      </c>
      <c r="BE70" s="20" t="s">
        <v>183</v>
      </c>
      <c r="BF70" s="3" t="s">
        <v>38</v>
      </c>
      <c r="BG70" s="11" t="s">
        <v>10</v>
      </c>
      <c r="BH70" s="52"/>
      <c r="BI70" s="20" t="s">
        <v>183</v>
      </c>
      <c r="BJ70" s="3" t="s">
        <v>38</v>
      </c>
      <c r="BK70" s="11" t="s">
        <v>10</v>
      </c>
      <c r="BL70" s="52">
        <v>1</v>
      </c>
      <c r="BM70" s="20" t="s">
        <v>183</v>
      </c>
      <c r="BN70" s="3" t="s">
        <v>38</v>
      </c>
      <c r="BO70" s="11" t="s">
        <v>10</v>
      </c>
      <c r="BP70" s="52">
        <v>1</v>
      </c>
      <c r="BQ70" s="20" t="s">
        <v>183</v>
      </c>
      <c r="BR70" s="3" t="s">
        <v>38</v>
      </c>
      <c r="BS70" s="11" t="s">
        <v>10</v>
      </c>
      <c r="BT70" s="154">
        <v>1</v>
      </c>
      <c r="BU70" s="20" t="s">
        <v>183</v>
      </c>
      <c r="BV70" s="3" t="s">
        <v>38</v>
      </c>
      <c r="BW70" s="11" t="s">
        <v>10</v>
      </c>
      <c r="BX70" s="52">
        <v>1</v>
      </c>
      <c r="BY70" s="253"/>
      <c r="BZ70" s="20" t="s">
        <v>183</v>
      </c>
      <c r="CA70" s="3" t="s">
        <v>38</v>
      </c>
      <c r="CB70" s="11" t="s">
        <v>10</v>
      </c>
      <c r="CC70" s="52"/>
    </row>
    <row r="71" spans="1:81" ht="12.75">
      <c r="A71" s="20" t="s">
        <v>184</v>
      </c>
      <c r="B71" s="3" t="s">
        <v>45</v>
      </c>
      <c r="C71" s="11" t="s">
        <v>20</v>
      </c>
      <c r="D71" s="52">
        <f t="shared" si="2"/>
        <v>84</v>
      </c>
      <c r="E71" s="68" t="e">
        <f>#REF!+#REF!+#REF!+#REF!+#REF!+#REF!+#REF!+#REF!+#REF!+#REF!+#REF!+#REF!+#REF!+#REF!+#REF!+#REF!+#REF!+#REF!</f>
        <v>#REF!</v>
      </c>
      <c r="F71" s="77" t="e">
        <f>#REF!+#REF!+#REF!+#REF!+#REF!+#REF!+#REF!+#REF!+#REF!+#REF!+#REF!+#REF!+#REF!+#REF!+#REF!+#REF!+#REF!+#REF!</f>
        <v>#REF!</v>
      </c>
      <c r="G71" s="259" t="e">
        <f>E71/D71*100</f>
        <v>#REF!</v>
      </c>
      <c r="I71" s="20" t="s">
        <v>184</v>
      </c>
      <c r="J71" s="3" t="s">
        <v>45</v>
      </c>
      <c r="K71" s="11" t="s">
        <v>20</v>
      </c>
      <c r="L71" s="678"/>
      <c r="M71" s="20" t="s">
        <v>184</v>
      </c>
      <c r="N71" s="3" t="s">
        <v>45</v>
      </c>
      <c r="O71" s="11" t="s">
        <v>20</v>
      </c>
      <c r="P71" s="52">
        <v>16</v>
      </c>
      <c r="Q71" s="20" t="s">
        <v>184</v>
      </c>
      <c r="R71" s="3" t="s">
        <v>45</v>
      </c>
      <c r="S71" s="11" t="s">
        <v>20</v>
      </c>
      <c r="T71" s="52"/>
      <c r="U71" s="20" t="s">
        <v>184</v>
      </c>
      <c r="V71" s="3" t="s">
        <v>45</v>
      </c>
      <c r="W71" s="11" t="s">
        <v>20</v>
      </c>
      <c r="X71" s="52"/>
      <c r="Y71" s="20" t="s">
        <v>184</v>
      </c>
      <c r="Z71" s="3" t="s">
        <v>45</v>
      </c>
      <c r="AA71" s="11" t="s">
        <v>20</v>
      </c>
      <c r="AB71" s="52"/>
      <c r="AC71" s="20" t="s">
        <v>184</v>
      </c>
      <c r="AD71" s="3" t="s">
        <v>45</v>
      </c>
      <c r="AE71" s="11" t="s">
        <v>20</v>
      </c>
      <c r="AF71" s="52"/>
      <c r="AG71" s="20" t="s">
        <v>184</v>
      </c>
      <c r="AH71" s="3" t="s">
        <v>45</v>
      </c>
      <c r="AI71" s="11" t="s">
        <v>20</v>
      </c>
      <c r="AJ71" s="52">
        <v>16</v>
      </c>
      <c r="AK71" s="20" t="s">
        <v>184</v>
      </c>
      <c r="AL71" s="3" t="s">
        <v>45</v>
      </c>
      <c r="AM71" s="11" t="s">
        <v>20</v>
      </c>
      <c r="AN71" s="52">
        <v>16</v>
      </c>
      <c r="AO71" s="20" t="s">
        <v>184</v>
      </c>
      <c r="AP71" s="3" t="s">
        <v>45</v>
      </c>
      <c r="AQ71" s="11" t="s">
        <v>20</v>
      </c>
      <c r="AR71" s="52"/>
      <c r="AS71" s="20" t="s">
        <v>184</v>
      </c>
      <c r="AT71" s="3" t="s">
        <v>45</v>
      </c>
      <c r="AU71" s="11" t="s">
        <v>20</v>
      </c>
      <c r="AV71" s="52"/>
      <c r="AW71" s="20" t="s">
        <v>184</v>
      </c>
      <c r="AX71" s="3" t="s">
        <v>45</v>
      </c>
      <c r="AY71" s="11" t="s">
        <v>20</v>
      </c>
      <c r="AZ71" s="52">
        <v>16</v>
      </c>
      <c r="BA71" s="20" t="s">
        <v>184</v>
      </c>
      <c r="BB71" s="3" t="s">
        <v>45</v>
      </c>
      <c r="BC71" s="11" t="s">
        <v>20</v>
      </c>
      <c r="BD71" s="52">
        <v>4</v>
      </c>
      <c r="BE71" s="20" t="s">
        <v>184</v>
      </c>
      <c r="BF71" s="3" t="s">
        <v>45</v>
      </c>
      <c r="BG71" s="11" t="s">
        <v>20</v>
      </c>
      <c r="BH71" s="52"/>
      <c r="BI71" s="20" t="s">
        <v>184</v>
      </c>
      <c r="BJ71" s="3" t="s">
        <v>45</v>
      </c>
      <c r="BK71" s="11" t="s">
        <v>20</v>
      </c>
      <c r="BL71" s="52"/>
      <c r="BM71" s="20" t="s">
        <v>184</v>
      </c>
      <c r="BN71" s="3" t="s">
        <v>45</v>
      </c>
      <c r="BO71" s="11" t="s">
        <v>20</v>
      </c>
      <c r="BP71" s="52">
        <v>16</v>
      </c>
      <c r="BQ71" s="20" t="s">
        <v>184</v>
      </c>
      <c r="BR71" s="3" t="s">
        <v>45</v>
      </c>
      <c r="BS71" s="11" t="s">
        <v>20</v>
      </c>
      <c r="BT71" s="154"/>
      <c r="BU71" s="20" t="s">
        <v>184</v>
      </c>
      <c r="BV71" s="3" t="s">
        <v>45</v>
      </c>
      <c r="BW71" s="11" t="s">
        <v>20</v>
      </c>
      <c r="BX71" s="52"/>
      <c r="BY71" s="253"/>
      <c r="BZ71" s="20" t="s">
        <v>184</v>
      </c>
      <c r="CA71" s="3" t="s">
        <v>45</v>
      </c>
      <c r="CB71" s="11" t="s">
        <v>20</v>
      </c>
      <c r="CC71" s="52"/>
    </row>
    <row r="72" spans="1:81" s="487" customFormat="1" ht="18.75" customHeight="1">
      <c r="A72" s="482" t="s">
        <v>158</v>
      </c>
      <c r="B72" s="600" t="s">
        <v>387</v>
      </c>
      <c r="C72" s="483" t="s">
        <v>23</v>
      </c>
      <c r="D72" s="604">
        <f t="shared" si="2"/>
        <v>159</v>
      </c>
      <c r="E72" s="604" t="e">
        <f>#REF!+#REF!+#REF!+#REF!+#REF!+#REF!+#REF!+#REF!+#REF!+#REF!+#REF!+#REF!+#REF!+#REF!+#REF!+#REF!+#REF!+#REF!</f>
        <v>#REF!</v>
      </c>
      <c r="F72" s="605" t="e">
        <f>SUM(F73:F81)</f>
        <v>#REF!</v>
      </c>
      <c r="G72" s="486" t="e">
        <f>E72/D72*100</f>
        <v>#REF!</v>
      </c>
      <c r="I72" s="482" t="s">
        <v>158</v>
      </c>
      <c r="J72" s="433" t="s">
        <v>371</v>
      </c>
      <c r="K72" s="483" t="s">
        <v>23</v>
      </c>
      <c r="L72" s="484">
        <v>5</v>
      </c>
      <c r="M72" s="482" t="s">
        <v>158</v>
      </c>
      <c r="N72" s="433" t="s">
        <v>371</v>
      </c>
      <c r="O72" s="483" t="s">
        <v>23</v>
      </c>
      <c r="P72" s="484">
        <v>11</v>
      </c>
      <c r="Q72" s="482" t="s">
        <v>158</v>
      </c>
      <c r="R72" s="433" t="s">
        <v>371</v>
      </c>
      <c r="S72" s="483" t="s">
        <v>23</v>
      </c>
      <c r="T72" s="484">
        <v>6</v>
      </c>
      <c r="U72" s="482" t="s">
        <v>158</v>
      </c>
      <c r="V72" s="433" t="s">
        <v>371</v>
      </c>
      <c r="W72" s="483" t="s">
        <v>23</v>
      </c>
      <c r="X72" s="484">
        <v>13</v>
      </c>
      <c r="Y72" s="482" t="s">
        <v>158</v>
      </c>
      <c r="Z72" s="433" t="s">
        <v>371</v>
      </c>
      <c r="AA72" s="483" t="s">
        <v>23</v>
      </c>
      <c r="AB72" s="484">
        <v>6</v>
      </c>
      <c r="AC72" s="482" t="s">
        <v>158</v>
      </c>
      <c r="AD72" s="433" t="s">
        <v>371</v>
      </c>
      <c r="AE72" s="483" t="s">
        <v>23</v>
      </c>
      <c r="AF72" s="484">
        <v>3</v>
      </c>
      <c r="AG72" s="482" t="s">
        <v>158</v>
      </c>
      <c r="AH72" s="433" t="s">
        <v>371</v>
      </c>
      <c r="AI72" s="483" t="s">
        <v>23</v>
      </c>
      <c r="AJ72" s="484">
        <v>6</v>
      </c>
      <c r="AK72" s="482" t="s">
        <v>158</v>
      </c>
      <c r="AL72" s="433" t="s">
        <v>371</v>
      </c>
      <c r="AM72" s="483" t="s">
        <v>23</v>
      </c>
      <c r="AN72" s="484">
        <v>7</v>
      </c>
      <c r="AO72" s="482" t="s">
        <v>158</v>
      </c>
      <c r="AP72" s="433" t="s">
        <v>371</v>
      </c>
      <c r="AQ72" s="483" t="s">
        <v>23</v>
      </c>
      <c r="AR72" s="484">
        <v>27</v>
      </c>
      <c r="AS72" s="482" t="s">
        <v>158</v>
      </c>
      <c r="AT72" s="433" t="s">
        <v>371</v>
      </c>
      <c r="AU72" s="483" t="s">
        <v>23</v>
      </c>
      <c r="AV72" s="484">
        <v>7</v>
      </c>
      <c r="AW72" s="482" t="s">
        <v>158</v>
      </c>
      <c r="AX72" s="433" t="s">
        <v>371</v>
      </c>
      <c r="AY72" s="483" t="s">
        <v>23</v>
      </c>
      <c r="AZ72" s="484">
        <v>9</v>
      </c>
      <c r="BA72" s="482" t="s">
        <v>158</v>
      </c>
      <c r="BB72" s="433" t="s">
        <v>371</v>
      </c>
      <c r="BC72" s="483" t="s">
        <v>23</v>
      </c>
      <c r="BD72" s="484">
        <v>13</v>
      </c>
      <c r="BE72" s="482" t="s">
        <v>158</v>
      </c>
      <c r="BF72" s="433" t="s">
        <v>371</v>
      </c>
      <c r="BG72" s="483" t="s">
        <v>23</v>
      </c>
      <c r="BH72" s="484">
        <v>7</v>
      </c>
      <c r="BI72" s="482" t="s">
        <v>158</v>
      </c>
      <c r="BJ72" s="433" t="s">
        <v>371</v>
      </c>
      <c r="BK72" s="483" t="s">
        <v>23</v>
      </c>
      <c r="BL72" s="484">
        <v>10</v>
      </c>
      <c r="BM72" s="482" t="s">
        <v>158</v>
      </c>
      <c r="BN72" s="433" t="s">
        <v>371</v>
      </c>
      <c r="BO72" s="483" t="s">
        <v>23</v>
      </c>
      <c r="BP72" s="484">
        <v>6</v>
      </c>
      <c r="BQ72" s="482" t="s">
        <v>158</v>
      </c>
      <c r="BR72" s="433" t="s">
        <v>371</v>
      </c>
      <c r="BS72" s="483" t="s">
        <v>23</v>
      </c>
      <c r="BT72" s="484">
        <v>13</v>
      </c>
      <c r="BU72" s="482" t="s">
        <v>158</v>
      </c>
      <c r="BV72" s="433" t="s">
        <v>371</v>
      </c>
      <c r="BW72" s="483" t="s">
        <v>23</v>
      </c>
      <c r="BX72" s="484">
        <v>6</v>
      </c>
      <c r="BY72" s="488" t="e">
        <f>#REF!/BX72*100</f>
        <v>#REF!</v>
      </c>
      <c r="BZ72" s="482" t="s">
        <v>158</v>
      </c>
      <c r="CA72" s="433" t="s">
        <v>371</v>
      </c>
      <c r="CB72" s="483" t="s">
        <v>23</v>
      </c>
      <c r="CC72" s="484">
        <v>4</v>
      </c>
    </row>
    <row r="73" spans="1:81" s="507" customFormat="1" ht="15.75">
      <c r="A73" s="83" t="s">
        <v>185</v>
      </c>
      <c r="B73" s="84" t="s">
        <v>365</v>
      </c>
      <c r="C73" s="85" t="s">
        <v>212</v>
      </c>
      <c r="D73" s="505">
        <f t="shared" si="2"/>
        <v>70</v>
      </c>
      <c r="E73" s="68" t="e">
        <f>#REF!+#REF!+#REF!+#REF!+#REF!+#REF!+#REF!+#REF!+#REF!+#REF!+#REF!+#REF!+#REF!+#REF!+#REF!+#REF!+#REF!+#REF!</f>
        <v>#REF!</v>
      </c>
      <c r="F73" s="77" t="e">
        <f>#REF!+#REF!+#REF!+#REF!+#REF!+#REF!+#REF!+#REF!+#REF!+#REF!+#REF!+#REF!+#REF!+#REF!+#REF!+#REF!+#REF!+#REF!</f>
        <v>#REF!</v>
      </c>
      <c r="G73" s="506"/>
      <c r="I73" s="83" t="s">
        <v>185</v>
      </c>
      <c r="J73" s="84" t="s">
        <v>365</v>
      </c>
      <c r="K73" s="85" t="s">
        <v>212</v>
      </c>
      <c r="L73" s="505"/>
      <c r="M73" s="83" t="s">
        <v>185</v>
      </c>
      <c r="N73" s="84" t="s">
        <v>365</v>
      </c>
      <c r="O73" s="85" t="s">
        <v>212</v>
      </c>
      <c r="P73" s="505"/>
      <c r="Q73" s="83" t="s">
        <v>185</v>
      </c>
      <c r="R73" s="84" t="s">
        <v>365</v>
      </c>
      <c r="S73" s="85" t="s">
        <v>212</v>
      </c>
      <c r="T73" s="505"/>
      <c r="U73" s="83" t="s">
        <v>185</v>
      </c>
      <c r="V73" s="84" t="s">
        <v>365</v>
      </c>
      <c r="W73" s="85" t="s">
        <v>212</v>
      </c>
      <c r="X73" s="505"/>
      <c r="Y73" s="83" t="s">
        <v>185</v>
      </c>
      <c r="Z73" s="84" t="s">
        <v>365</v>
      </c>
      <c r="AA73" s="85" t="s">
        <v>212</v>
      </c>
      <c r="AB73" s="505"/>
      <c r="AC73" s="83" t="s">
        <v>185</v>
      </c>
      <c r="AD73" s="84" t="s">
        <v>365</v>
      </c>
      <c r="AE73" s="85" t="s">
        <v>212</v>
      </c>
      <c r="AF73" s="505"/>
      <c r="AG73" s="83" t="s">
        <v>185</v>
      </c>
      <c r="AH73" s="84" t="s">
        <v>365</v>
      </c>
      <c r="AI73" s="85" t="s">
        <v>212</v>
      </c>
      <c r="AJ73" s="505"/>
      <c r="AK73" s="83" t="s">
        <v>185</v>
      </c>
      <c r="AL73" s="84" t="s">
        <v>365</v>
      </c>
      <c r="AM73" s="85" t="s">
        <v>212</v>
      </c>
      <c r="AN73" s="505"/>
      <c r="AO73" s="83" t="s">
        <v>185</v>
      </c>
      <c r="AP73" s="84" t="s">
        <v>365</v>
      </c>
      <c r="AQ73" s="85" t="s">
        <v>212</v>
      </c>
      <c r="AR73" s="505"/>
      <c r="AS73" s="83" t="s">
        <v>185</v>
      </c>
      <c r="AT73" s="84" t="s">
        <v>365</v>
      </c>
      <c r="AU73" s="85" t="s">
        <v>212</v>
      </c>
      <c r="AV73" s="505"/>
      <c r="AW73" s="83" t="s">
        <v>185</v>
      </c>
      <c r="AX73" s="3" t="s">
        <v>365</v>
      </c>
      <c r="AY73" s="85" t="s">
        <v>212</v>
      </c>
      <c r="AZ73" s="505"/>
      <c r="BA73" s="83" t="s">
        <v>185</v>
      </c>
      <c r="BB73" s="84" t="s">
        <v>365</v>
      </c>
      <c r="BC73" s="85" t="s">
        <v>212</v>
      </c>
      <c r="BD73" s="505">
        <v>70</v>
      </c>
      <c r="BE73" s="83" t="s">
        <v>185</v>
      </c>
      <c r="BF73" s="84" t="s">
        <v>365</v>
      </c>
      <c r="BG73" s="85" t="s">
        <v>212</v>
      </c>
      <c r="BH73" s="505"/>
      <c r="BI73" s="83" t="s">
        <v>185</v>
      </c>
      <c r="BJ73" s="84" t="s">
        <v>365</v>
      </c>
      <c r="BK73" s="85" t="s">
        <v>212</v>
      </c>
      <c r="BL73" s="505"/>
      <c r="BM73" s="83" t="s">
        <v>185</v>
      </c>
      <c r="BN73" s="84" t="s">
        <v>365</v>
      </c>
      <c r="BO73" s="85" t="s">
        <v>212</v>
      </c>
      <c r="BP73" s="505"/>
      <c r="BQ73" s="83" t="s">
        <v>185</v>
      </c>
      <c r="BR73" s="84" t="s">
        <v>365</v>
      </c>
      <c r="BS73" s="85" t="s">
        <v>212</v>
      </c>
      <c r="BT73" s="505"/>
      <c r="BU73" s="83" t="s">
        <v>185</v>
      </c>
      <c r="BV73" s="84" t="s">
        <v>365</v>
      </c>
      <c r="BW73" s="85" t="s">
        <v>212</v>
      </c>
      <c r="BX73" s="505"/>
      <c r="BY73" s="339"/>
      <c r="BZ73" s="83" t="s">
        <v>185</v>
      </c>
      <c r="CA73" s="84" t="s">
        <v>365</v>
      </c>
      <c r="CB73" s="85" t="s">
        <v>212</v>
      </c>
      <c r="CC73" s="505"/>
    </row>
    <row r="74" spans="1:81" ht="12.75" hidden="1">
      <c r="A74" s="20" t="s">
        <v>186</v>
      </c>
      <c r="B74" s="3" t="s">
        <v>366</v>
      </c>
      <c r="C74" s="11" t="s">
        <v>367</v>
      </c>
      <c r="D74" s="52">
        <f t="shared" si="2"/>
        <v>0</v>
      </c>
      <c r="E74" s="68" t="e">
        <f>#REF!+#REF!+#REF!+#REF!+#REF!+#REF!+#REF!+#REF!+#REF!+#REF!+#REF!+#REF!+#REF!+#REF!+#REF!+#REF!+#REF!+#REF!</f>
        <v>#REF!</v>
      </c>
      <c r="F74" s="77" t="e">
        <f>#REF!+#REF!+#REF!+#REF!+#REF!+#REF!+#REF!+#REF!+#REF!+#REF!+#REF!+#REF!+#REF!+#REF!+#REF!+#REF!+#REF!+#REF!</f>
        <v>#REF!</v>
      </c>
      <c r="G74" s="259"/>
      <c r="I74" s="20" t="s">
        <v>186</v>
      </c>
      <c r="J74" s="3" t="s">
        <v>366</v>
      </c>
      <c r="K74" s="11" t="s">
        <v>367</v>
      </c>
      <c r="L74" s="678"/>
      <c r="M74" s="20" t="s">
        <v>186</v>
      </c>
      <c r="N74" s="3" t="s">
        <v>366</v>
      </c>
      <c r="O74" s="11" t="s">
        <v>367</v>
      </c>
      <c r="P74" s="52"/>
      <c r="Q74" s="20" t="s">
        <v>186</v>
      </c>
      <c r="R74" s="3" t="s">
        <v>366</v>
      </c>
      <c r="S74" s="11" t="s">
        <v>367</v>
      </c>
      <c r="T74" s="52"/>
      <c r="U74" s="20" t="s">
        <v>186</v>
      </c>
      <c r="V74" s="3" t="s">
        <v>366</v>
      </c>
      <c r="W74" s="11" t="s">
        <v>367</v>
      </c>
      <c r="X74" s="52"/>
      <c r="Y74" s="20" t="s">
        <v>186</v>
      </c>
      <c r="Z74" s="3" t="s">
        <v>366</v>
      </c>
      <c r="AA74" s="11" t="s">
        <v>367</v>
      </c>
      <c r="AB74" s="52"/>
      <c r="AC74" s="20" t="s">
        <v>186</v>
      </c>
      <c r="AD74" s="3" t="s">
        <v>366</v>
      </c>
      <c r="AE74" s="11" t="s">
        <v>367</v>
      </c>
      <c r="AF74" s="52"/>
      <c r="AG74" s="20" t="s">
        <v>186</v>
      </c>
      <c r="AH74" s="3" t="s">
        <v>366</v>
      </c>
      <c r="AI74" s="11" t="s">
        <v>367</v>
      </c>
      <c r="AJ74" s="52"/>
      <c r="AK74" s="20" t="s">
        <v>186</v>
      </c>
      <c r="AL74" s="3" t="s">
        <v>366</v>
      </c>
      <c r="AM74" s="11" t="s">
        <v>367</v>
      </c>
      <c r="AN74" s="52"/>
      <c r="AO74" s="20" t="s">
        <v>186</v>
      </c>
      <c r="AP74" s="3" t="s">
        <v>366</v>
      </c>
      <c r="AQ74" s="11" t="s">
        <v>367</v>
      </c>
      <c r="AR74" s="52"/>
      <c r="AS74" s="20" t="s">
        <v>186</v>
      </c>
      <c r="AT74" s="3" t="s">
        <v>366</v>
      </c>
      <c r="AU74" s="11" t="s">
        <v>367</v>
      </c>
      <c r="AV74" s="52"/>
      <c r="AW74" s="20" t="s">
        <v>186</v>
      </c>
      <c r="AX74" s="3" t="s">
        <v>366</v>
      </c>
      <c r="AY74" s="11" t="s">
        <v>367</v>
      </c>
      <c r="AZ74" s="52"/>
      <c r="BA74" s="20" t="s">
        <v>186</v>
      </c>
      <c r="BB74" s="3" t="s">
        <v>366</v>
      </c>
      <c r="BC74" s="11" t="s">
        <v>367</v>
      </c>
      <c r="BD74" s="52"/>
      <c r="BE74" s="20" t="s">
        <v>186</v>
      </c>
      <c r="BF74" s="3" t="s">
        <v>366</v>
      </c>
      <c r="BG74" s="11" t="s">
        <v>367</v>
      </c>
      <c r="BH74" s="52"/>
      <c r="BI74" s="20" t="s">
        <v>186</v>
      </c>
      <c r="BJ74" s="3" t="s">
        <v>366</v>
      </c>
      <c r="BK74" s="11" t="s">
        <v>367</v>
      </c>
      <c r="BL74" s="52"/>
      <c r="BM74" s="20" t="s">
        <v>186</v>
      </c>
      <c r="BN74" s="3" t="s">
        <v>366</v>
      </c>
      <c r="BO74" s="11" t="s">
        <v>367</v>
      </c>
      <c r="BP74" s="52"/>
      <c r="BQ74" s="20" t="s">
        <v>186</v>
      </c>
      <c r="BR74" s="3" t="s">
        <v>366</v>
      </c>
      <c r="BS74" s="11" t="s">
        <v>367</v>
      </c>
      <c r="BT74" s="154"/>
      <c r="BU74" s="20" t="s">
        <v>186</v>
      </c>
      <c r="BV74" s="3" t="s">
        <v>366</v>
      </c>
      <c r="BW74" s="11" t="s">
        <v>367</v>
      </c>
      <c r="BX74" s="52"/>
      <c r="BY74" s="253"/>
      <c r="BZ74" s="20" t="s">
        <v>186</v>
      </c>
      <c r="CA74" s="3" t="s">
        <v>366</v>
      </c>
      <c r="CB74" s="11" t="s">
        <v>367</v>
      </c>
      <c r="CC74" s="52"/>
    </row>
    <row r="75" spans="1:81" ht="12.75" hidden="1">
      <c r="A75" s="20" t="s">
        <v>187</v>
      </c>
      <c r="B75" s="3" t="s">
        <v>368</v>
      </c>
      <c r="C75" s="11" t="s">
        <v>212</v>
      </c>
      <c r="D75" s="52">
        <f t="shared" si="2"/>
        <v>0</v>
      </c>
      <c r="E75" s="68" t="e">
        <f>#REF!+#REF!+#REF!+#REF!+#REF!+#REF!+#REF!+#REF!+#REF!+#REF!+#REF!+#REF!+#REF!+#REF!+#REF!+#REF!+#REF!+#REF!</f>
        <v>#REF!</v>
      </c>
      <c r="F75" s="77" t="e">
        <f>#REF!+#REF!+#REF!+#REF!+#REF!+#REF!+#REF!+#REF!+#REF!+#REF!+#REF!+#REF!+#REF!+#REF!+#REF!+#REF!+#REF!+#REF!</f>
        <v>#REF!</v>
      </c>
      <c r="G75" s="259"/>
      <c r="I75" s="20" t="s">
        <v>187</v>
      </c>
      <c r="J75" s="3" t="s">
        <v>368</v>
      </c>
      <c r="K75" s="11" t="s">
        <v>212</v>
      </c>
      <c r="L75" s="678"/>
      <c r="M75" s="20" t="s">
        <v>187</v>
      </c>
      <c r="N75" s="3" t="s">
        <v>368</v>
      </c>
      <c r="O75" s="11" t="s">
        <v>212</v>
      </c>
      <c r="P75" s="52"/>
      <c r="Q75" s="20" t="s">
        <v>187</v>
      </c>
      <c r="R75" s="3" t="s">
        <v>368</v>
      </c>
      <c r="S75" s="11" t="s">
        <v>212</v>
      </c>
      <c r="T75" s="52"/>
      <c r="U75" s="20" t="s">
        <v>187</v>
      </c>
      <c r="V75" s="3" t="s">
        <v>368</v>
      </c>
      <c r="W75" s="11" t="s">
        <v>212</v>
      </c>
      <c r="X75" s="52"/>
      <c r="Y75" s="20" t="s">
        <v>187</v>
      </c>
      <c r="Z75" s="3" t="s">
        <v>368</v>
      </c>
      <c r="AA75" s="11" t="s">
        <v>212</v>
      </c>
      <c r="AB75" s="52"/>
      <c r="AC75" s="20" t="s">
        <v>187</v>
      </c>
      <c r="AD75" s="3" t="s">
        <v>368</v>
      </c>
      <c r="AE75" s="11" t="s">
        <v>212</v>
      </c>
      <c r="AF75" s="52"/>
      <c r="AG75" s="20" t="s">
        <v>187</v>
      </c>
      <c r="AH75" s="3" t="s">
        <v>368</v>
      </c>
      <c r="AI75" s="11" t="s">
        <v>212</v>
      </c>
      <c r="AJ75" s="52"/>
      <c r="AK75" s="20" t="s">
        <v>187</v>
      </c>
      <c r="AL75" s="3" t="s">
        <v>368</v>
      </c>
      <c r="AM75" s="11" t="s">
        <v>212</v>
      </c>
      <c r="AN75" s="52"/>
      <c r="AO75" s="20" t="s">
        <v>187</v>
      </c>
      <c r="AP75" s="3" t="s">
        <v>368</v>
      </c>
      <c r="AQ75" s="11" t="s">
        <v>212</v>
      </c>
      <c r="AR75" s="52"/>
      <c r="AS75" s="20" t="s">
        <v>187</v>
      </c>
      <c r="AT75" s="3" t="s">
        <v>368</v>
      </c>
      <c r="AU75" s="11" t="s">
        <v>212</v>
      </c>
      <c r="AV75" s="52"/>
      <c r="AW75" s="20" t="s">
        <v>187</v>
      </c>
      <c r="AX75" s="3" t="s">
        <v>368</v>
      </c>
      <c r="AY75" s="11" t="s">
        <v>212</v>
      </c>
      <c r="AZ75" s="52"/>
      <c r="BA75" s="20" t="s">
        <v>187</v>
      </c>
      <c r="BB75" s="3" t="s">
        <v>368</v>
      </c>
      <c r="BC75" s="11" t="s">
        <v>212</v>
      </c>
      <c r="BD75" s="52"/>
      <c r="BE75" s="20" t="s">
        <v>187</v>
      </c>
      <c r="BF75" s="3" t="s">
        <v>368</v>
      </c>
      <c r="BG75" s="11" t="s">
        <v>212</v>
      </c>
      <c r="BH75" s="52"/>
      <c r="BI75" s="20" t="s">
        <v>187</v>
      </c>
      <c r="BJ75" s="3" t="s">
        <v>368</v>
      </c>
      <c r="BK75" s="11" t="s">
        <v>212</v>
      </c>
      <c r="BL75" s="52"/>
      <c r="BM75" s="20" t="s">
        <v>187</v>
      </c>
      <c r="BN75" s="3" t="s">
        <v>368</v>
      </c>
      <c r="BO75" s="11" t="s">
        <v>212</v>
      </c>
      <c r="BP75" s="52"/>
      <c r="BQ75" s="20" t="s">
        <v>187</v>
      </c>
      <c r="BR75" s="3" t="s">
        <v>368</v>
      </c>
      <c r="BS75" s="11" t="s">
        <v>212</v>
      </c>
      <c r="BT75" s="154"/>
      <c r="BU75" s="20" t="s">
        <v>187</v>
      </c>
      <c r="BV75" s="3" t="s">
        <v>368</v>
      </c>
      <c r="BW75" s="11" t="s">
        <v>212</v>
      </c>
      <c r="BX75" s="52"/>
      <c r="BY75" s="253"/>
      <c r="BZ75" s="20" t="s">
        <v>187</v>
      </c>
      <c r="CA75" s="3" t="s">
        <v>368</v>
      </c>
      <c r="CB75" s="11" t="s">
        <v>212</v>
      </c>
      <c r="CC75" s="52"/>
    </row>
    <row r="76" spans="1:81" s="677" customFormat="1" ht="15" customHeight="1">
      <c r="A76" s="143" t="s">
        <v>188</v>
      </c>
      <c r="B76" s="290" t="s">
        <v>36</v>
      </c>
      <c r="C76" s="66" t="s">
        <v>20</v>
      </c>
      <c r="D76" s="674">
        <f t="shared" si="2"/>
        <v>15</v>
      </c>
      <c r="E76" s="675" t="e">
        <f>#REF!+#REF!+#REF!+#REF!+#REF!+#REF!+#REF!+#REF!+#REF!+#REF!+#REF!+#REF!+#REF!+#REF!+#REF!+#REF!+#REF!+#REF!</f>
        <v>#REF!</v>
      </c>
      <c r="F76" s="676" t="e">
        <f>#REF!+#REF!+#REF!+#REF!+#REF!+#REF!+#REF!+#REF!+#REF!+#REF!+#REF!+#REF!+#REF!+#REF!+#REF!+#REF!+#REF!+#REF!</f>
        <v>#REF!</v>
      </c>
      <c r="G76" s="387"/>
      <c r="I76" s="143" t="s">
        <v>188</v>
      </c>
      <c r="J76" s="290" t="s">
        <v>36</v>
      </c>
      <c r="K76" s="66" t="s">
        <v>20</v>
      </c>
      <c r="L76" s="388">
        <v>5</v>
      </c>
      <c r="M76" s="143" t="s">
        <v>188</v>
      </c>
      <c r="N76" s="290" t="s">
        <v>36</v>
      </c>
      <c r="O76" s="66" t="s">
        <v>20</v>
      </c>
      <c r="P76" s="388">
        <v>10</v>
      </c>
      <c r="Q76" s="143" t="s">
        <v>188</v>
      </c>
      <c r="R76" s="290" t="s">
        <v>36</v>
      </c>
      <c r="S76" s="66" t="s">
        <v>20</v>
      </c>
      <c r="T76" s="389"/>
      <c r="U76" s="143" t="s">
        <v>188</v>
      </c>
      <c r="V76" s="290" t="s">
        <v>36</v>
      </c>
      <c r="W76" s="66" t="s">
        <v>20</v>
      </c>
      <c r="X76" s="389"/>
      <c r="Y76" s="143" t="s">
        <v>188</v>
      </c>
      <c r="Z76" s="290" t="s">
        <v>36</v>
      </c>
      <c r="AA76" s="66" t="s">
        <v>20</v>
      </c>
      <c r="AB76" s="389"/>
      <c r="AC76" s="143" t="s">
        <v>188</v>
      </c>
      <c r="AD76" s="290" t="s">
        <v>36</v>
      </c>
      <c r="AE76" s="66" t="s">
        <v>20</v>
      </c>
      <c r="AF76" s="389"/>
      <c r="AG76" s="143" t="s">
        <v>188</v>
      </c>
      <c r="AH76" s="290" t="s">
        <v>36</v>
      </c>
      <c r="AI76" s="66" t="s">
        <v>20</v>
      </c>
      <c r="AJ76" s="388"/>
      <c r="AK76" s="143" t="s">
        <v>188</v>
      </c>
      <c r="AL76" s="290" t="s">
        <v>36</v>
      </c>
      <c r="AM76" s="66" t="s">
        <v>20</v>
      </c>
      <c r="AN76" s="388"/>
      <c r="AO76" s="143" t="s">
        <v>188</v>
      </c>
      <c r="AP76" s="290" t="s">
        <v>36</v>
      </c>
      <c r="AQ76" s="66" t="s">
        <v>20</v>
      </c>
      <c r="AR76" s="389"/>
      <c r="AS76" s="143" t="s">
        <v>188</v>
      </c>
      <c r="AT76" s="290" t="s">
        <v>36</v>
      </c>
      <c r="AU76" s="66" t="s">
        <v>20</v>
      </c>
      <c r="AV76" s="388"/>
      <c r="AW76" s="143" t="s">
        <v>188</v>
      </c>
      <c r="AX76" s="290" t="s">
        <v>36</v>
      </c>
      <c r="AY76" s="66" t="s">
        <v>20</v>
      </c>
      <c r="AZ76" s="388"/>
      <c r="BA76" s="143" t="s">
        <v>188</v>
      </c>
      <c r="BB76" s="290" t="s">
        <v>36</v>
      </c>
      <c r="BC76" s="66" t="s">
        <v>20</v>
      </c>
      <c r="BD76" s="388"/>
      <c r="BE76" s="143" t="s">
        <v>188</v>
      </c>
      <c r="BF76" s="290" t="s">
        <v>36</v>
      </c>
      <c r="BG76" s="66" t="s">
        <v>20</v>
      </c>
      <c r="BH76" s="389"/>
      <c r="BI76" s="143" t="s">
        <v>188</v>
      </c>
      <c r="BJ76" s="290" t="s">
        <v>36</v>
      </c>
      <c r="BK76" s="66" t="s">
        <v>20</v>
      </c>
      <c r="BL76" s="389"/>
      <c r="BM76" s="143" t="s">
        <v>188</v>
      </c>
      <c r="BN76" s="290" t="s">
        <v>36</v>
      </c>
      <c r="BO76" s="66" t="s">
        <v>20</v>
      </c>
      <c r="BP76" s="388"/>
      <c r="BQ76" s="143" t="s">
        <v>188</v>
      </c>
      <c r="BR76" s="290" t="s">
        <v>36</v>
      </c>
      <c r="BS76" s="66" t="s">
        <v>20</v>
      </c>
      <c r="BT76" s="389"/>
      <c r="BU76" s="143" t="s">
        <v>188</v>
      </c>
      <c r="BV76" s="290" t="s">
        <v>36</v>
      </c>
      <c r="BW76" s="66" t="s">
        <v>20</v>
      </c>
      <c r="BX76" s="389"/>
      <c r="BY76" s="278"/>
      <c r="BZ76" s="143" t="s">
        <v>188</v>
      </c>
      <c r="CA76" s="290" t="s">
        <v>36</v>
      </c>
      <c r="CB76" s="66" t="s">
        <v>20</v>
      </c>
      <c r="CC76" s="389"/>
    </row>
    <row r="77" spans="1:81" s="251" customFormat="1" ht="12.75">
      <c r="A77" s="143" t="s">
        <v>189</v>
      </c>
      <c r="B77" s="3" t="s">
        <v>351</v>
      </c>
      <c r="C77" s="11" t="s">
        <v>10</v>
      </c>
      <c r="D77" s="678">
        <f t="shared" si="2"/>
        <v>15</v>
      </c>
      <c r="E77" s="675" t="e">
        <f>#REF!+#REF!+#REF!+#REF!+#REF!+#REF!+#REF!+#REF!+#REF!+#REF!+#REF!+#REF!+#REF!+#REF!+#REF!+#REF!+#REF!+#REF!</f>
        <v>#REF!</v>
      </c>
      <c r="F77" s="676" t="e">
        <f>#REF!+#REF!+#REF!+#REF!+#REF!+#REF!+#REF!+#REF!+#REF!+#REF!+#REF!+#REF!+#REF!+#REF!+#REF!+#REF!+#REF!+#REF!</f>
        <v>#REF!</v>
      </c>
      <c r="G77" s="259"/>
      <c r="I77" s="143" t="s">
        <v>189</v>
      </c>
      <c r="J77" s="3" t="s">
        <v>351</v>
      </c>
      <c r="K77" s="11" t="s">
        <v>10</v>
      </c>
      <c r="L77" s="678">
        <v>2</v>
      </c>
      <c r="M77" s="143" t="s">
        <v>189</v>
      </c>
      <c r="N77" s="3" t="s">
        <v>351</v>
      </c>
      <c r="O77" s="11" t="s">
        <v>10</v>
      </c>
      <c r="P77" s="678">
        <v>3</v>
      </c>
      <c r="Q77" s="143" t="s">
        <v>189</v>
      </c>
      <c r="R77" s="3" t="s">
        <v>351</v>
      </c>
      <c r="S77" s="11" t="s">
        <v>10</v>
      </c>
      <c r="T77" s="678"/>
      <c r="U77" s="143" t="s">
        <v>189</v>
      </c>
      <c r="V77" s="3" t="s">
        <v>351</v>
      </c>
      <c r="W77" s="11" t="s">
        <v>10</v>
      </c>
      <c r="X77" s="678"/>
      <c r="Y77" s="143" t="s">
        <v>189</v>
      </c>
      <c r="Z77" s="3" t="s">
        <v>351</v>
      </c>
      <c r="AA77" s="11" t="s">
        <v>10</v>
      </c>
      <c r="AB77" s="678"/>
      <c r="AC77" s="143" t="s">
        <v>189</v>
      </c>
      <c r="AD77" s="3" t="s">
        <v>351</v>
      </c>
      <c r="AE77" s="11" t="s">
        <v>10</v>
      </c>
      <c r="AF77" s="678"/>
      <c r="AG77" s="143" t="s">
        <v>189</v>
      </c>
      <c r="AH77" s="3" t="s">
        <v>351</v>
      </c>
      <c r="AI77" s="11" t="s">
        <v>10</v>
      </c>
      <c r="AJ77" s="678"/>
      <c r="AK77" s="143" t="s">
        <v>189</v>
      </c>
      <c r="AL77" s="3" t="s">
        <v>351</v>
      </c>
      <c r="AM77" s="11" t="s">
        <v>10</v>
      </c>
      <c r="AN77" s="678"/>
      <c r="AO77" s="143" t="s">
        <v>189</v>
      </c>
      <c r="AP77" s="3" t="s">
        <v>351</v>
      </c>
      <c r="AQ77" s="11" t="s">
        <v>10</v>
      </c>
      <c r="AR77" s="678"/>
      <c r="AS77" s="143" t="s">
        <v>189</v>
      </c>
      <c r="AT77" s="3" t="s">
        <v>351</v>
      </c>
      <c r="AU77" s="11" t="s">
        <v>10</v>
      </c>
      <c r="AV77" s="678"/>
      <c r="AW77" s="143" t="s">
        <v>189</v>
      </c>
      <c r="AX77" s="3" t="s">
        <v>351</v>
      </c>
      <c r="AY77" s="11" t="s">
        <v>10</v>
      </c>
      <c r="AZ77" s="678">
        <v>3</v>
      </c>
      <c r="BA77" s="143" t="s">
        <v>189</v>
      </c>
      <c r="BB77" s="3" t="s">
        <v>351</v>
      </c>
      <c r="BC77" s="11" t="s">
        <v>10</v>
      </c>
      <c r="BD77" s="678">
        <v>7</v>
      </c>
      <c r="BE77" s="143" t="s">
        <v>189</v>
      </c>
      <c r="BF77" s="3" t="s">
        <v>351</v>
      </c>
      <c r="BG77" s="11" t="s">
        <v>10</v>
      </c>
      <c r="BH77" s="678"/>
      <c r="BI77" s="143" t="s">
        <v>189</v>
      </c>
      <c r="BJ77" s="3" t="s">
        <v>351</v>
      </c>
      <c r="BK77" s="11" t="s">
        <v>10</v>
      </c>
      <c r="BL77" s="678"/>
      <c r="BM77" s="143" t="s">
        <v>189</v>
      </c>
      <c r="BN77" s="3" t="s">
        <v>351</v>
      </c>
      <c r="BO77" s="11" t="s">
        <v>10</v>
      </c>
      <c r="BP77" s="678"/>
      <c r="BQ77" s="143" t="s">
        <v>189</v>
      </c>
      <c r="BR77" s="3" t="s">
        <v>351</v>
      </c>
      <c r="BS77" s="11" t="s">
        <v>10</v>
      </c>
      <c r="BT77" s="678"/>
      <c r="BU77" s="143" t="s">
        <v>189</v>
      </c>
      <c r="BV77" s="3" t="s">
        <v>351</v>
      </c>
      <c r="BW77" s="11" t="s">
        <v>10</v>
      </c>
      <c r="BX77" s="678"/>
      <c r="BY77" s="253"/>
      <c r="BZ77" s="143" t="s">
        <v>189</v>
      </c>
      <c r="CA77" s="3" t="s">
        <v>351</v>
      </c>
      <c r="CB77" s="11" t="s">
        <v>10</v>
      </c>
      <c r="CC77" s="678"/>
    </row>
    <row r="78" spans="1:81" s="251" customFormat="1" ht="12.75">
      <c r="A78" s="143" t="s">
        <v>190</v>
      </c>
      <c r="B78" s="3" t="s">
        <v>369</v>
      </c>
      <c r="C78" s="11" t="s">
        <v>10</v>
      </c>
      <c r="D78" s="678">
        <f t="shared" si="2"/>
        <v>94</v>
      </c>
      <c r="E78" s="675" t="e">
        <f>#REF!+#REF!+#REF!+#REF!+#REF!+#REF!+#REF!+#REF!+#REF!+#REF!+#REF!+#REF!+#REF!+#REF!+#REF!+#REF!+#REF!+#REF!</f>
        <v>#REF!</v>
      </c>
      <c r="F78" s="676" t="e">
        <f>#REF!+#REF!+#REF!+#REF!+#REF!+#REF!+#REF!+#REF!+#REF!+#REF!+#REF!+#REF!+#REF!+#REF!+#REF!+#REF!+#REF!+#REF!</f>
        <v>#REF!</v>
      </c>
      <c r="G78" s="259"/>
      <c r="I78" s="143" t="s">
        <v>190</v>
      </c>
      <c r="J78" s="3" t="s">
        <v>369</v>
      </c>
      <c r="K78" s="11" t="s">
        <v>10</v>
      </c>
      <c r="L78" s="678"/>
      <c r="M78" s="143" t="s">
        <v>190</v>
      </c>
      <c r="N78" s="3" t="s">
        <v>369</v>
      </c>
      <c r="O78" s="11" t="s">
        <v>10</v>
      </c>
      <c r="P78" s="678">
        <v>10</v>
      </c>
      <c r="Q78" s="143" t="s">
        <v>190</v>
      </c>
      <c r="R78" s="3" t="s">
        <v>369</v>
      </c>
      <c r="S78" s="11" t="s">
        <v>10</v>
      </c>
      <c r="T78" s="678"/>
      <c r="U78" s="143" t="s">
        <v>190</v>
      </c>
      <c r="V78" s="3" t="s">
        <v>369</v>
      </c>
      <c r="W78" s="11" t="s">
        <v>10</v>
      </c>
      <c r="X78" s="678"/>
      <c r="Y78" s="143" t="s">
        <v>190</v>
      </c>
      <c r="Z78" s="3" t="s">
        <v>369</v>
      </c>
      <c r="AA78" s="11" t="s">
        <v>10</v>
      </c>
      <c r="AB78" s="678">
        <v>23</v>
      </c>
      <c r="AC78" s="143" t="s">
        <v>190</v>
      </c>
      <c r="AD78" s="3" t="s">
        <v>369</v>
      </c>
      <c r="AE78" s="11" t="s">
        <v>10</v>
      </c>
      <c r="AF78" s="678"/>
      <c r="AG78" s="143" t="s">
        <v>190</v>
      </c>
      <c r="AH78" s="3" t="s">
        <v>369</v>
      </c>
      <c r="AI78" s="11" t="s">
        <v>10</v>
      </c>
      <c r="AJ78" s="678">
        <v>2</v>
      </c>
      <c r="AK78" s="143" t="s">
        <v>190</v>
      </c>
      <c r="AL78" s="3" t="s">
        <v>369</v>
      </c>
      <c r="AM78" s="11" t="s">
        <v>10</v>
      </c>
      <c r="AN78" s="678">
        <v>7</v>
      </c>
      <c r="AO78" s="143" t="s">
        <v>190</v>
      </c>
      <c r="AP78" s="3" t="s">
        <v>369</v>
      </c>
      <c r="AQ78" s="11" t="s">
        <v>10</v>
      </c>
      <c r="AR78" s="678">
        <v>12</v>
      </c>
      <c r="AS78" s="143" t="s">
        <v>190</v>
      </c>
      <c r="AT78" s="3" t="s">
        <v>369</v>
      </c>
      <c r="AU78" s="11" t="s">
        <v>10</v>
      </c>
      <c r="AV78" s="678"/>
      <c r="AW78" s="143" t="s">
        <v>190</v>
      </c>
      <c r="AX78" s="3" t="s">
        <v>369</v>
      </c>
      <c r="AY78" s="11" t="s">
        <v>10</v>
      </c>
      <c r="AZ78" s="678"/>
      <c r="BA78" s="143" t="s">
        <v>190</v>
      </c>
      <c r="BB78" s="3" t="s">
        <v>369</v>
      </c>
      <c r="BC78" s="11" t="s">
        <v>10</v>
      </c>
      <c r="BD78" s="678">
        <v>40</v>
      </c>
      <c r="BE78" s="143" t="s">
        <v>190</v>
      </c>
      <c r="BF78" s="3" t="s">
        <v>369</v>
      </c>
      <c r="BG78" s="11" t="s">
        <v>10</v>
      </c>
      <c r="BH78" s="678"/>
      <c r="BI78" s="143" t="s">
        <v>190</v>
      </c>
      <c r="BJ78" s="3" t="s">
        <v>369</v>
      </c>
      <c r="BK78" s="11" t="s">
        <v>10</v>
      </c>
      <c r="BL78" s="678"/>
      <c r="BM78" s="143" t="s">
        <v>190</v>
      </c>
      <c r="BN78" s="3" t="s">
        <v>369</v>
      </c>
      <c r="BO78" s="11" t="s">
        <v>10</v>
      </c>
      <c r="BP78" s="678"/>
      <c r="BQ78" s="143" t="s">
        <v>190</v>
      </c>
      <c r="BR78" s="3" t="s">
        <v>369</v>
      </c>
      <c r="BS78" s="11" t="s">
        <v>10</v>
      </c>
      <c r="BT78" s="678"/>
      <c r="BU78" s="143" t="s">
        <v>190</v>
      </c>
      <c r="BV78" s="3" t="s">
        <v>369</v>
      </c>
      <c r="BW78" s="11" t="s">
        <v>10</v>
      </c>
      <c r="BX78" s="678"/>
      <c r="BY78" s="253"/>
      <c r="BZ78" s="143" t="s">
        <v>190</v>
      </c>
      <c r="CA78" s="3" t="s">
        <v>369</v>
      </c>
      <c r="CB78" s="11" t="s">
        <v>10</v>
      </c>
      <c r="CC78" s="678"/>
    </row>
    <row r="79" spans="1:81" s="251" customFormat="1" ht="12.75">
      <c r="A79" s="143" t="s">
        <v>191</v>
      </c>
      <c r="B79" s="3" t="s">
        <v>344</v>
      </c>
      <c r="C79" s="11" t="s">
        <v>10</v>
      </c>
      <c r="D79" s="678">
        <f t="shared" si="2"/>
        <v>25</v>
      </c>
      <c r="E79" s="675" t="e">
        <f>#REF!+#REF!+#REF!+#REF!+#REF!+#REF!+#REF!+#REF!+#REF!+#REF!+#REF!+#REF!+#REF!+#REF!+#REF!+#REF!+#REF!+#REF!</f>
        <v>#REF!</v>
      </c>
      <c r="F79" s="676" t="e">
        <f>#REF!+#REF!+#REF!+#REF!+#REF!+#REF!+#REF!+#REF!+#REF!+#REF!+#REF!+#REF!+#REF!+#REF!+#REF!+#REF!+#REF!+#REF!</f>
        <v>#REF!</v>
      </c>
      <c r="G79" s="259"/>
      <c r="I79" s="143" t="s">
        <v>191</v>
      </c>
      <c r="J79" s="3" t="s">
        <v>344</v>
      </c>
      <c r="K79" s="11" t="s">
        <v>10</v>
      </c>
      <c r="L79" s="678"/>
      <c r="M79" s="143" t="s">
        <v>191</v>
      </c>
      <c r="N79" s="3" t="s">
        <v>344</v>
      </c>
      <c r="O79" s="11" t="s">
        <v>10</v>
      </c>
      <c r="P79" s="678">
        <v>5</v>
      </c>
      <c r="Q79" s="143" t="s">
        <v>191</v>
      </c>
      <c r="R79" s="3" t="s">
        <v>344</v>
      </c>
      <c r="S79" s="11" t="s">
        <v>10</v>
      </c>
      <c r="T79" s="678"/>
      <c r="U79" s="143" t="s">
        <v>191</v>
      </c>
      <c r="V79" s="3" t="s">
        <v>344</v>
      </c>
      <c r="W79" s="11" t="s">
        <v>10</v>
      </c>
      <c r="X79" s="678">
        <v>1</v>
      </c>
      <c r="Y79" s="143" t="s">
        <v>191</v>
      </c>
      <c r="Z79" s="3" t="s">
        <v>344</v>
      </c>
      <c r="AA79" s="11" t="s">
        <v>10</v>
      </c>
      <c r="AB79" s="678"/>
      <c r="AC79" s="143" t="s">
        <v>191</v>
      </c>
      <c r="AD79" s="3" t="s">
        <v>344</v>
      </c>
      <c r="AE79" s="11" t="s">
        <v>10</v>
      </c>
      <c r="AF79" s="678"/>
      <c r="AG79" s="143" t="s">
        <v>191</v>
      </c>
      <c r="AH79" s="3" t="s">
        <v>344</v>
      </c>
      <c r="AI79" s="11" t="s">
        <v>10</v>
      </c>
      <c r="AJ79" s="678"/>
      <c r="AK79" s="143" t="s">
        <v>191</v>
      </c>
      <c r="AL79" s="3" t="s">
        <v>344</v>
      </c>
      <c r="AM79" s="11" t="s">
        <v>10</v>
      </c>
      <c r="AN79" s="678"/>
      <c r="AO79" s="143" t="s">
        <v>191</v>
      </c>
      <c r="AP79" s="3" t="s">
        <v>344</v>
      </c>
      <c r="AQ79" s="11" t="s">
        <v>10</v>
      </c>
      <c r="AR79" s="678"/>
      <c r="AS79" s="143" t="s">
        <v>191</v>
      </c>
      <c r="AT79" s="3" t="s">
        <v>344</v>
      </c>
      <c r="AU79" s="11" t="s">
        <v>10</v>
      </c>
      <c r="AV79" s="678">
        <v>1</v>
      </c>
      <c r="AW79" s="143" t="s">
        <v>191</v>
      </c>
      <c r="AX79" s="3" t="s">
        <v>344</v>
      </c>
      <c r="AY79" s="11" t="s">
        <v>10</v>
      </c>
      <c r="AZ79" s="678">
        <v>3</v>
      </c>
      <c r="BA79" s="143" t="s">
        <v>191</v>
      </c>
      <c r="BB79" s="3" t="s">
        <v>344</v>
      </c>
      <c r="BC79" s="11" t="s">
        <v>10</v>
      </c>
      <c r="BD79" s="678">
        <v>2</v>
      </c>
      <c r="BE79" s="143" t="s">
        <v>191</v>
      </c>
      <c r="BF79" s="3" t="s">
        <v>344</v>
      </c>
      <c r="BG79" s="11" t="s">
        <v>10</v>
      </c>
      <c r="BH79" s="678">
        <v>1</v>
      </c>
      <c r="BI79" s="143" t="s">
        <v>191</v>
      </c>
      <c r="BJ79" s="3" t="s">
        <v>344</v>
      </c>
      <c r="BK79" s="11" t="s">
        <v>10</v>
      </c>
      <c r="BL79" s="678">
        <v>12</v>
      </c>
      <c r="BM79" s="143" t="s">
        <v>191</v>
      </c>
      <c r="BN79" s="3" t="s">
        <v>344</v>
      </c>
      <c r="BO79" s="11" t="s">
        <v>10</v>
      </c>
      <c r="BP79" s="678"/>
      <c r="BQ79" s="143" t="s">
        <v>191</v>
      </c>
      <c r="BR79" s="3" t="s">
        <v>344</v>
      </c>
      <c r="BS79" s="11" t="s">
        <v>10</v>
      </c>
      <c r="BT79" s="678"/>
      <c r="BU79" s="143" t="s">
        <v>191</v>
      </c>
      <c r="BV79" s="3" t="s">
        <v>344</v>
      </c>
      <c r="BW79" s="11" t="s">
        <v>10</v>
      </c>
      <c r="BX79" s="678"/>
      <c r="BY79" s="253"/>
      <c r="BZ79" s="143" t="s">
        <v>191</v>
      </c>
      <c r="CA79" s="3" t="s">
        <v>344</v>
      </c>
      <c r="CB79" s="11" t="s">
        <v>10</v>
      </c>
      <c r="CC79" s="678"/>
    </row>
    <row r="80" spans="1:81" s="251" customFormat="1" ht="12.75">
      <c r="A80" s="143" t="s">
        <v>192</v>
      </c>
      <c r="B80" s="3" t="s">
        <v>48</v>
      </c>
      <c r="C80" s="11" t="s">
        <v>10</v>
      </c>
      <c r="D80" s="678">
        <f t="shared" si="2"/>
        <v>6</v>
      </c>
      <c r="E80" s="675" t="e">
        <f>#REF!+#REF!+#REF!+#REF!+#REF!+#REF!+#REF!+#REF!+#REF!+#REF!+#REF!+#REF!+#REF!+#REF!+#REF!+#REF!+#REF!+#REF!</f>
        <v>#REF!</v>
      </c>
      <c r="F80" s="676" t="e">
        <f>#REF!+#REF!+#REF!+#REF!+#REF!+#REF!+#REF!+#REF!+#REF!+#REF!+#REF!+#REF!+#REF!+#REF!+#REF!+#REF!+#REF!+#REF!</f>
        <v>#REF!</v>
      </c>
      <c r="G80" s="259"/>
      <c r="I80" s="143" t="s">
        <v>192</v>
      </c>
      <c r="J80" s="3" t="s">
        <v>48</v>
      </c>
      <c r="K80" s="11" t="s">
        <v>10</v>
      </c>
      <c r="L80" s="678"/>
      <c r="M80" s="143" t="s">
        <v>192</v>
      </c>
      <c r="N80" s="3" t="s">
        <v>48</v>
      </c>
      <c r="O80" s="11" t="s">
        <v>10</v>
      </c>
      <c r="P80" s="678"/>
      <c r="Q80" s="143" t="s">
        <v>192</v>
      </c>
      <c r="R80" s="3" t="s">
        <v>48</v>
      </c>
      <c r="S80" s="11" t="s">
        <v>10</v>
      </c>
      <c r="T80" s="678"/>
      <c r="U80" s="143" t="s">
        <v>192</v>
      </c>
      <c r="V80" s="3" t="s">
        <v>48</v>
      </c>
      <c r="W80" s="11" t="s">
        <v>10</v>
      </c>
      <c r="X80" s="678"/>
      <c r="Y80" s="143" t="s">
        <v>192</v>
      </c>
      <c r="Z80" s="3" t="s">
        <v>48</v>
      </c>
      <c r="AA80" s="11" t="s">
        <v>10</v>
      </c>
      <c r="AB80" s="678"/>
      <c r="AC80" s="143" t="s">
        <v>192</v>
      </c>
      <c r="AD80" s="3" t="s">
        <v>48</v>
      </c>
      <c r="AE80" s="11" t="s">
        <v>10</v>
      </c>
      <c r="AF80" s="678"/>
      <c r="AG80" s="143" t="s">
        <v>192</v>
      </c>
      <c r="AH80" s="3" t="s">
        <v>48</v>
      </c>
      <c r="AI80" s="11" t="s">
        <v>10</v>
      </c>
      <c r="AJ80" s="678"/>
      <c r="AK80" s="143" t="s">
        <v>192</v>
      </c>
      <c r="AL80" s="3" t="s">
        <v>48</v>
      </c>
      <c r="AM80" s="11" t="s">
        <v>10</v>
      </c>
      <c r="AN80" s="678"/>
      <c r="AO80" s="143" t="s">
        <v>192</v>
      </c>
      <c r="AP80" s="3" t="s">
        <v>48</v>
      </c>
      <c r="AQ80" s="11" t="s">
        <v>10</v>
      </c>
      <c r="AR80" s="678"/>
      <c r="AS80" s="143" t="s">
        <v>192</v>
      </c>
      <c r="AT80" s="3" t="s">
        <v>48</v>
      </c>
      <c r="AU80" s="11" t="s">
        <v>10</v>
      </c>
      <c r="AV80" s="678">
        <v>2</v>
      </c>
      <c r="AW80" s="143" t="s">
        <v>192</v>
      </c>
      <c r="AX80" s="3" t="s">
        <v>48</v>
      </c>
      <c r="AY80" s="11" t="s">
        <v>10</v>
      </c>
      <c r="AZ80" s="678"/>
      <c r="BA80" s="143" t="s">
        <v>192</v>
      </c>
      <c r="BB80" s="3" t="s">
        <v>48</v>
      </c>
      <c r="BC80" s="11" t="s">
        <v>10</v>
      </c>
      <c r="BD80" s="678"/>
      <c r="BE80" s="143" t="s">
        <v>192</v>
      </c>
      <c r="BF80" s="3" t="s">
        <v>48</v>
      </c>
      <c r="BG80" s="11" t="s">
        <v>10</v>
      </c>
      <c r="BH80" s="678"/>
      <c r="BI80" s="143" t="s">
        <v>192</v>
      </c>
      <c r="BJ80" s="3" t="s">
        <v>48</v>
      </c>
      <c r="BK80" s="11" t="s">
        <v>10</v>
      </c>
      <c r="BL80" s="678"/>
      <c r="BM80" s="143" t="s">
        <v>192</v>
      </c>
      <c r="BN80" s="3" t="s">
        <v>48</v>
      </c>
      <c r="BO80" s="11" t="s">
        <v>10</v>
      </c>
      <c r="BP80" s="678">
        <v>1</v>
      </c>
      <c r="BQ80" s="143" t="s">
        <v>192</v>
      </c>
      <c r="BR80" s="3" t="s">
        <v>48</v>
      </c>
      <c r="BS80" s="11" t="s">
        <v>10</v>
      </c>
      <c r="BT80" s="678">
        <v>3</v>
      </c>
      <c r="BU80" s="143" t="s">
        <v>192</v>
      </c>
      <c r="BV80" s="3" t="s">
        <v>48</v>
      </c>
      <c r="BW80" s="11" t="s">
        <v>10</v>
      </c>
      <c r="BX80" s="678"/>
      <c r="BY80" s="253"/>
      <c r="BZ80" s="143" t="s">
        <v>192</v>
      </c>
      <c r="CA80" s="3" t="s">
        <v>48</v>
      </c>
      <c r="CB80" s="11" t="s">
        <v>10</v>
      </c>
      <c r="CC80" s="678"/>
    </row>
    <row r="81" spans="1:81" s="251" customFormat="1" ht="12.75" hidden="1">
      <c r="A81" s="20" t="s">
        <v>193</v>
      </c>
      <c r="B81" s="3" t="s">
        <v>49</v>
      </c>
      <c r="C81" s="11" t="s">
        <v>10</v>
      </c>
      <c r="D81" s="678">
        <f t="shared" si="2"/>
        <v>0</v>
      </c>
      <c r="E81" s="675" t="e">
        <f>#REF!+#REF!+#REF!+#REF!+#REF!+#REF!+#REF!+#REF!+#REF!+#REF!+#REF!+#REF!+#REF!+#REF!+#REF!+#REF!+#REF!+#REF!</f>
        <v>#REF!</v>
      </c>
      <c r="F81" s="676" t="e">
        <f>#REF!+#REF!+#REF!+#REF!+#REF!+#REF!+#REF!+#REF!+#REF!+#REF!+#REF!+#REF!+#REF!+#REF!+#REF!+#REF!+#REF!+#REF!</f>
        <v>#REF!</v>
      </c>
      <c r="G81" s="259"/>
      <c r="I81" s="20" t="s">
        <v>193</v>
      </c>
      <c r="J81" s="3" t="s">
        <v>49</v>
      </c>
      <c r="K81" s="11" t="s">
        <v>10</v>
      </c>
      <c r="L81" s="678"/>
      <c r="M81" s="20" t="s">
        <v>193</v>
      </c>
      <c r="N81" s="3" t="s">
        <v>49</v>
      </c>
      <c r="O81" s="11" t="s">
        <v>10</v>
      </c>
      <c r="P81" s="678"/>
      <c r="Q81" s="20" t="s">
        <v>193</v>
      </c>
      <c r="R81" s="3" t="s">
        <v>49</v>
      </c>
      <c r="S81" s="11" t="s">
        <v>10</v>
      </c>
      <c r="T81" s="678"/>
      <c r="U81" s="20" t="s">
        <v>193</v>
      </c>
      <c r="V81" s="3" t="s">
        <v>49</v>
      </c>
      <c r="W81" s="11" t="s">
        <v>10</v>
      </c>
      <c r="X81" s="678"/>
      <c r="Y81" s="20" t="s">
        <v>193</v>
      </c>
      <c r="Z81" s="3" t="s">
        <v>49</v>
      </c>
      <c r="AA81" s="11" t="s">
        <v>10</v>
      </c>
      <c r="AB81" s="678"/>
      <c r="AC81" s="20" t="s">
        <v>193</v>
      </c>
      <c r="AD81" s="3" t="s">
        <v>49</v>
      </c>
      <c r="AE81" s="11" t="s">
        <v>10</v>
      </c>
      <c r="AF81" s="678"/>
      <c r="AG81" s="20" t="s">
        <v>193</v>
      </c>
      <c r="AH81" s="3" t="s">
        <v>49</v>
      </c>
      <c r="AI81" s="11" t="s">
        <v>10</v>
      </c>
      <c r="AJ81" s="678"/>
      <c r="AK81" s="20" t="s">
        <v>193</v>
      </c>
      <c r="AL81" s="3" t="s">
        <v>49</v>
      </c>
      <c r="AM81" s="11" t="s">
        <v>10</v>
      </c>
      <c r="AN81" s="678"/>
      <c r="AO81" s="20" t="s">
        <v>193</v>
      </c>
      <c r="AP81" s="3" t="s">
        <v>49</v>
      </c>
      <c r="AQ81" s="11" t="s">
        <v>10</v>
      </c>
      <c r="AR81" s="678"/>
      <c r="AS81" s="20" t="s">
        <v>193</v>
      </c>
      <c r="AT81" s="3" t="s">
        <v>49</v>
      </c>
      <c r="AU81" s="11" t="s">
        <v>10</v>
      </c>
      <c r="AV81" s="678"/>
      <c r="AW81" s="20" t="s">
        <v>193</v>
      </c>
      <c r="AX81" s="3" t="s">
        <v>49</v>
      </c>
      <c r="AY81" s="11" t="s">
        <v>10</v>
      </c>
      <c r="AZ81" s="678"/>
      <c r="BA81" s="20" t="s">
        <v>193</v>
      </c>
      <c r="BB81" s="3" t="s">
        <v>49</v>
      </c>
      <c r="BC81" s="11" t="s">
        <v>10</v>
      </c>
      <c r="BD81" s="678"/>
      <c r="BE81" s="20" t="s">
        <v>193</v>
      </c>
      <c r="BF81" s="3" t="s">
        <v>49</v>
      </c>
      <c r="BG81" s="11" t="s">
        <v>10</v>
      </c>
      <c r="BH81" s="678"/>
      <c r="BI81" s="20" t="s">
        <v>193</v>
      </c>
      <c r="BJ81" s="3" t="s">
        <v>49</v>
      </c>
      <c r="BK81" s="11" t="s">
        <v>10</v>
      </c>
      <c r="BL81" s="678"/>
      <c r="BM81" s="20" t="s">
        <v>193</v>
      </c>
      <c r="BN81" s="3" t="s">
        <v>49</v>
      </c>
      <c r="BO81" s="11" t="s">
        <v>10</v>
      </c>
      <c r="BP81" s="678"/>
      <c r="BQ81" s="20" t="s">
        <v>193</v>
      </c>
      <c r="BR81" s="3" t="s">
        <v>49</v>
      </c>
      <c r="BS81" s="11" t="s">
        <v>10</v>
      </c>
      <c r="BT81" s="678"/>
      <c r="BU81" s="20" t="s">
        <v>193</v>
      </c>
      <c r="BV81" s="3" t="s">
        <v>49</v>
      </c>
      <c r="BW81" s="11" t="s">
        <v>10</v>
      </c>
      <c r="BX81" s="678"/>
      <c r="BY81" s="253"/>
      <c r="BZ81" s="20" t="s">
        <v>193</v>
      </c>
      <c r="CA81" s="3" t="s">
        <v>49</v>
      </c>
      <c r="CB81" s="11" t="s">
        <v>10</v>
      </c>
      <c r="CC81" s="678"/>
    </row>
    <row r="82" spans="1:81" s="360" customFormat="1" ht="18.75">
      <c r="A82" s="594" t="s">
        <v>159</v>
      </c>
      <c r="B82" s="599" t="s">
        <v>370</v>
      </c>
      <c r="C82" s="601"/>
      <c r="D82" s="602"/>
      <c r="E82" s="597"/>
      <c r="F82" s="603" t="e">
        <f>SUM(F83:F86)</f>
        <v>#REF!</v>
      </c>
      <c r="G82" s="598"/>
      <c r="I82" s="594" t="s">
        <v>159</v>
      </c>
      <c r="J82" s="595" t="s">
        <v>370</v>
      </c>
      <c r="K82" s="596"/>
      <c r="L82" s="239"/>
      <c r="M82" s="594" t="s">
        <v>159</v>
      </c>
      <c r="N82" s="595" t="s">
        <v>370</v>
      </c>
      <c r="O82" s="596"/>
      <c r="P82" s="239"/>
      <c r="Q82" s="594" t="s">
        <v>159</v>
      </c>
      <c r="R82" s="595" t="s">
        <v>370</v>
      </c>
      <c r="S82" s="596"/>
      <c r="T82" s="239"/>
      <c r="U82" s="594" t="s">
        <v>159</v>
      </c>
      <c r="V82" s="595" t="s">
        <v>370</v>
      </c>
      <c r="W82" s="596"/>
      <c r="X82" s="239"/>
      <c r="Y82" s="594" t="s">
        <v>159</v>
      </c>
      <c r="Z82" s="595" t="s">
        <v>370</v>
      </c>
      <c r="AA82" s="576"/>
      <c r="AB82" s="239"/>
      <c r="AC82" s="594" t="s">
        <v>159</v>
      </c>
      <c r="AD82" s="595" t="s">
        <v>370</v>
      </c>
      <c r="AE82" s="596"/>
      <c r="AF82" s="239"/>
      <c r="AG82" s="594" t="s">
        <v>159</v>
      </c>
      <c r="AH82" s="595" t="s">
        <v>370</v>
      </c>
      <c r="AI82" s="596"/>
      <c r="AJ82" s="239"/>
      <c r="AK82" s="594" t="s">
        <v>159</v>
      </c>
      <c r="AL82" s="595" t="s">
        <v>370</v>
      </c>
      <c r="AM82" s="596"/>
      <c r="AN82" s="239"/>
      <c r="AO82" s="594" t="s">
        <v>159</v>
      </c>
      <c r="AP82" s="595" t="s">
        <v>370</v>
      </c>
      <c r="AQ82" s="596"/>
      <c r="AR82" s="239"/>
      <c r="AS82" s="594" t="s">
        <v>159</v>
      </c>
      <c r="AT82" s="595" t="s">
        <v>370</v>
      </c>
      <c r="AU82" s="596"/>
      <c r="AV82" s="239"/>
      <c r="AW82" s="594" t="s">
        <v>159</v>
      </c>
      <c r="AX82" s="595" t="s">
        <v>370</v>
      </c>
      <c r="AY82" s="596"/>
      <c r="AZ82" s="239"/>
      <c r="BA82" s="594" t="s">
        <v>159</v>
      </c>
      <c r="BB82" s="595" t="s">
        <v>370</v>
      </c>
      <c r="BC82" s="596"/>
      <c r="BD82" s="239"/>
      <c r="BE82" s="594" t="s">
        <v>159</v>
      </c>
      <c r="BF82" s="595" t="s">
        <v>370</v>
      </c>
      <c r="BG82" s="596"/>
      <c r="BH82" s="239"/>
      <c r="BI82" s="594" t="s">
        <v>159</v>
      </c>
      <c r="BJ82" s="595" t="s">
        <v>370</v>
      </c>
      <c r="BK82" s="596"/>
      <c r="BL82" s="239"/>
      <c r="BM82" s="594" t="s">
        <v>159</v>
      </c>
      <c r="BN82" s="595" t="s">
        <v>370</v>
      </c>
      <c r="BO82" s="596"/>
      <c r="BP82" s="239"/>
      <c r="BQ82" s="594" t="s">
        <v>159</v>
      </c>
      <c r="BR82" s="595" t="s">
        <v>370</v>
      </c>
      <c r="BS82" s="596"/>
      <c r="BT82" s="239"/>
      <c r="BU82" s="594" t="s">
        <v>159</v>
      </c>
      <c r="BV82" s="595" t="s">
        <v>370</v>
      </c>
      <c r="BW82" s="596"/>
      <c r="BX82" s="239"/>
      <c r="BY82" s="238"/>
      <c r="BZ82" s="594" t="s">
        <v>159</v>
      </c>
      <c r="CA82" s="595" t="s">
        <v>370</v>
      </c>
      <c r="CB82" s="596"/>
      <c r="CC82" s="239"/>
    </row>
    <row r="83" spans="1:81" ht="15.75">
      <c r="A83" s="20" t="s">
        <v>395</v>
      </c>
      <c r="B83" s="338" t="s">
        <v>380</v>
      </c>
      <c r="C83" s="11" t="s">
        <v>10</v>
      </c>
      <c r="D83" s="52">
        <f>L83+P83+T83+X83+AB83+AF83+AJ83+AN83+AR83+AV83+AZ83+BD83+BH83+BL83+BP83+BT83+BX83+CC83</f>
        <v>71</v>
      </c>
      <c r="E83" s="68" t="e">
        <f>#REF!+#REF!+#REF!+#REF!+#REF!+#REF!+#REF!+#REF!+#REF!+#REF!+#REF!+#REF!+#REF!+#REF!+#REF!+#REF!+#REF!+#REF!</f>
        <v>#REF!</v>
      </c>
      <c r="F83" s="77" t="e">
        <f>#REF!+#REF!+#REF!+#REF!+#REF!+#REF!+#REF!+#REF!+#REF!+#REF!+#REF!+#REF!+#REF!+#REF!+#REF!+#REF!+#REF!+#REF!</f>
        <v>#REF!</v>
      </c>
      <c r="G83" s="259" t="e">
        <f>E83/D83*100</f>
        <v>#REF!</v>
      </c>
      <c r="I83" s="20" t="s">
        <v>395</v>
      </c>
      <c r="J83" s="338" t="s">
        <v>380</v>
      </c>
      <c r="K83" s="11" t="s">
        <v>10</v>
      </c>
      <c r="L83" s="376"/>
      <c r="M83" s="20" t="s">
        <v>395</v>
      </c>
      <c r="N83" s="338" t="s">
        <v>380</v>
      </c>
      <c r="O83" s="11" t="s">
        <v>10</v>
      </c>
      <c r="P83" s="52">
        <v>12</v>
      </c>
      <c r="Q83" s="20" t="s">
        <v>395</v>
      </c>
      <c r="R83" s="338" t="s">
        <v>380</v>
      </c>
      <c r="S83" s="11" t="s">
        <v>10</v>
      </c>
      <c r="T83" s="52"/>
      <c r="U83" s="20" t="s">
        <v>395</v>
      </c>
      <c r="V83" s="338" t="s">
        <v>380</v>
      </c>
      <c r="W83" s="11" t="s">
        <v>10</v>
      </c>
      <c r="X83" s="52">
        <v>15</v>
      </c>
      <c r="Y83" s="20" t="s">
        <v>395</v>
      </c>
      <c r="Z83" s="338" t="s">
        <v>380</v>
      </c>
      <c r="AA83" s="11" t="s">
        <v>10</v>
      </c>
      <c r="AB83" s="52">
        <v>7</v>
      </c>
      <c r="AC83" s="20" t="s">
        <v>395</v>
      </c>
      <c r="AD83" s="338" t="s">
        <v>380</v>
      </c>
      <c r="AE83" s="11" t="s">
        <v>10</v>
      </c>
      <c r="AF83" s="52"/>
      <c r="AG83" s="20" t="s">
        <v>395</v>
      </c>
      <c r="AH83" s="338" t="s">
        <v>380</v>
      </c>
      <c r="AI83" s="11" t="s">
        <v>10</v>
      </c>
      <c r="AJ83" s="52"/>
      <c r="AK83" s="20" t="s">
        <v>395</v>
      </c>
      <c r="AL83" s="338" t="s">
        <v>380</v>
      </c>
      <c r="AM83" s="11" t="s">
        <v>10</v>
      </c>
      <c r="AN83" s="52">
        <v>8</v>
      </c>
      <c r="AO83" s="20" t="s">
        <v>395</v>
      </c>
      <c r="AP83" s="338" t="s">
        <v>380</v>
      </c>
      <c r="AQ83" s="11" t="s">
        <v>10</v>
      </c>
      <c r="AR83" s="52"/>
      <c r="AS83" s="20" t="s">
        <v>395</v>
      </c>
      <c r="AT83" s="338" t="s">
        <v>380</v>
      </c>
      <c r="AU83" s="11" t="s">
        <v>10</v>
      </c>
      <c r="AV83" s="52"/>
      <c r="AW83" s="20" t="s">
        <v>395</v>
      </c>
      <c r="AX83" s="338" t="s">
        <v>380</v>
      </c>
      <c r="AY83" s="11" t="s">
        <v>10</v>
      </c>
      <c r="AZ83" s="52">
        <v>10</v>
      </c>
      <c r="BA83" s="20" t="s">
        <v>395</v>
      </c>
      <c r="BB83" s="338" t="s">
        <v>380</v>
      </c>
      <c r="BC83" s="11" t="s">
        <v>10</v>
      </c>
      <c r="BD83" s="52"/>
      <c r="BE83" s="20" t="s">
        <v>395</v>
      </c>
      <c r="BF83" s="338" t="s">
        <v>380</v>
      </c>
      <c r="BG83" s="11" t="s">
        <v>10</v>
      </c>
      <c r="BH83" s="52"/>
      <c r="BI83" s="20" t="s">
        <v>395</v>
      </c>
      <c r="BJ83" s="338" t="s">
        <v>380</v>
      </c>
      <c r="BK83" s="11" t="s">
        <v>10</v>
      </c>
      <c r="BL83" s="52">
        <v>12</v>
      </c>
      <c r="BM83" s="20" t="s">
        <v>395</v>
      </c>
      <c r="BN83" s="338" t="s">
        <v>380</v>
      </c>
      <c r="BO83" s="11" t="s">
        <v>10</v>
      </c>
      <c r="BP83" s="52">
        <v>7</v>
      </c>
      <c r="BQ83" s="20" t="s">
        <v>395</v>
      </c>
      <c r="BR83" s="338" t="s">
        <v>380</v>
      </c>
      <c r="BS83" s="11" t="s">
        <v>10</v>
      </c>
      <c r="BT83" s="154"/>
      <c r="BU83" s="20" t="s">
        <v>395</v>
      </c>
      <c r="BV83" s="338" t="s">
        <v>380</v>
      </c>
      <c r="BW83" s="11" t="s">
        <v>10</v>
      </c>
      <c r="BX83" s="52"/>
      <c r="BY83" s="253"/>
      <c r="BZ83" s="20" t="s">
        <v>395</v>
      </c>
      <c r="CA83" s="338" t="s">
        <v>380</v>
      </c>
      <c r="CB83" s="11" t="s">
        <v>10</v>
      </c>
      <c r="CC83" s="52"/>
    </row>
    <row r="84" spans="1:81" ht="12.75">
      <c r="A84" s="20" t="s">
        <v>396</v>
      </c>
      <c r="B84" s="3" t="s">
        <v>343</v>
      </c>
      <c r="C84" s="11" t="s">
        <v>10</v>
      </c>
      <c r="D84" s="52">
        <f>L84+P84+T84+X84+AB84+AF84+AJ84+AN84+AR84+AV84+AZ84+BD84+BH84+BL84+BP84+BT84+BX84+CC84</f>
        <v>17</v>
      </c>
      <c r="E84" s="68" t="e">
        <f>#REF!+#REF!+#REF!+#REF!+#REF!+#REF!+#REF!+#REF!+#REF!+#REF!+#REF!+#REF!+#REF!+#REF!+#REF!+#REF!+#REF!+#REF!</f>
        <v>#REF!</v>
      </c>
      <c r="F84" s="77" t="e">
        <f>#REF!+#REF!+#REF!+#REF!+#REF!+#REF!+#REF!+#REF!+#REF!+#REF!+#REF!+#REF!+#REF!+#REF!+#REF!+#REF!+#REF!+#REF!</f>
        <v>#REF!</v>
      </c>
      <c r="G84" s="259"/>
      <c r="I84" s="20" t="s">
        <v>396</v>
      </c>
      <c r="J84" s="3" t="s">
        <v>343</v>
      </c>
      <c r="K84" s="11" t="s">
        <v>10</v>
      </c>
      <c r="L84" s="52"/>
      <c r="M84" s="20" t="s">
        <v>396</v>
      </c>
      <c r="N84" s="3" t="s">
        <v>343</v>
      </c>
      <c r="O84" s="11" t="s">
        <v>10</v>
      </c>
      <c r="P84" s="52">
        <v>3</v>
      </c>
      <c r="Q84" s="20" t="s">
        <v>396</v>
      </c>
      <c r="R84" s="3" t="s">
        <v>343</v>
      </c>
      <c r="S84" s="11" t="s">
        <v>10</v>
      </c>
      <c r="T84" s="52"/>
      <c r="U84" s="20" t="s">
        <v>396</v>
      </c>
      <c r="V84" s="3" t="s">
        <v>343</v>
      </c>
      <c r="W84" s="11" t="s">
        <v>10</v>
      </c>
      <c r="X84" s="52">
        <v>2</v>
      </c>
      <c r="Y84" s="20" t="s">
        <v>396</v>
      </c>
      <c r="Z84" s="3" t="s">
        <v>343</v>
      </c>
      <c r="AA84" s="11" t="s">
        <v>10</v>
      </c>
      <c r="AB84" s="52"/>
      <c r="AC84" s="20" t="s">
        <v>396</v>
      </c>
      <c r="AD84" s="3" t="s">
        <v>343</v>
      </c>
      <c r="AE84" s="11" t="s">
        <v>10</v>
      </c>
      <c r="AF84" s="52"/>
      <c r="AG84" s="20" t="s">
        <v>396</v>
      </c>
      <c r="AH84" s="3" t="s">
        <v>343</v>
      </c>
      <c r="AI84" s="11" t="s">
        <v>10</v>
      </c>
      <c r="AJ84" s="52"/>
      <c r="AK84" s="20" t="s">
        <v>396</v>
      </c>
      <c r="AL84" s="3" t="s">
        <v>343</v>
      </c>
      <c r="AM84" s="11" t="s">
        <v>10</v>
      </c>
      <c r="AN84" s="52">
        <v>1</v>
      </c>
      <c r="AO84" s="20" t="s">
        <v>396</v>
      </c>
      <c r="AP84" s="3" t="s">
        <v>343</v>
      </c>
      <c r="AQ84" s="11" t="s">
        <v>10</v>
      </c>
      <c r="AR84" s="52">
        <v>4</v>
      </c>
      <c r="AS84" s="20" t="s">
        <v>396</v>
      </c>
      <c r="AT84" s="3" t="s">
        <v>343</v>
      </c>
      <c r="AU84" s="11" t="s">
        <v>10</v>
      </c>
      <c r="AV84" s="52"/>
      <c r="AW84" s="20" t="s">
        <v>396</v>
      </c>
      <c r="AX84" s="3" t="s">
        <v>343</v>
      </c>
      <c r="AY84" s="11" t="s">
        <v>10</v>
      </c>
      <c r="AZ84" s="52"/>
      <c r="BA84" s="20" t="s">
        <v>396</v>
      </c>
      <c r="BB84" s="3" t="s">
        <v>343</v>
      </c>
      <c r="BC84" s="11" t="s">
        <v>10</v>
      </c>
      <c r="BD84" s="52">
        <v>3</v>
      </c>
      <c r="BE84" s="20" t="s">
        <v>396</v>
      </c>
      <c r="BF84" s="3" t="s">
        <v>343</v>
      </c>
      <c r="BG84" s="11" t="s">
        <v>10</v>
      </c>
      <c r="BH84" s="52"/>
      <c r="BI84" s="20" t="s">
        <v>396</v>
      </c>
      <c r="BJ84" s="3" t="s">
        <v>343</v>
      </c>
      <c r="BK84" s="11" t="s">
        <v>10</v>
      </c>
      <c r="BL84" s="52"/>
      <c r="BM84" s="20" t="s">
        <v>396</v>
      </c>
      <c r="BN84" s="3" t="s">
        <v>343</v>
      </c>
      <c r="BO84" s="11" t="s">
        <v>10</v>
      </c>
      <c r="BP84" s="52">
        <v>2</v>
      </c>
      <c r="BQ84" s="20" t="s">
        <v>396</v>
      </c>
      <c r="BR84" s="3" t="s">
        <v>343</v>
      </c>
      <c r="BS84" s="11" t="s">
        <v>10</v>
      </c>
      <c r="BT84" s="154">
        <v>2</v>
      </c>
      <c r="BU84" s="20" t="s">
        <v>396</v>
      </c>
      <c r="BV84" s="3" t="s">
        <v>343</v>
      </c>
      <c r="BW84" s="11" t="s">
        <v>10</v>
      </c>
      <c r="BX84" s="52"/>
      <c r="BY84" s="253"/>
      <c r="BZ84" s="20" t="s">
        <v>396</v>
      </c>
      <c r="CA84" s="3" t="s">
        <v>343</v>
      </c>
      <c r="CB84" s="11" t="s">
        <v>10</v>
      </c>
      <c r="CC84" s="52"/>
    </row>
    <row r="85" spans="1:81" ht="12.75">
      <c r="A85" s="20" t="s">
        <v>397</v>
      </c>
      <c r="B85" s="3" t="s">
        <v>214</v>
      </c>
      <c r="C85" s="11" t="s">
        <v>23</v>
      </c>
      <c r="D85" s="52">
        <f>L85+P85+T85+X85+AB85+AF85+AJ85+AN85+AR85+AV85+AZ85+BD85+BH85+BL85+BP85+BT85+BX85+CC85</f>
        <v>21</v>
      </c>
      <c r="E85" s="68" t="e">
        <f>#REF!+#REF!+#REF!+#REF!+#REF!+#REF!+#REF!+#REF!+#REF!+#REF!+#REF!+#REF!+#REF!+#REF!+#REF!+#REF!+#REF!+#REF!</f>
        <v>#REF!</v>
      </c>
      <c r="F85" s="77" t="e">
        <f>#REF!+#REF!+#REF!+#REF!+#REF!+#REF!+#REF!+#REF!+#REF!+#REF!+#REF!+#REF!+#REF!+#REF!+#REF!+#REF!+#REF!+#REF!</f>
        <v>#REF!</v>
      </c>
      <c r="G85" s="259" t="e">
        <f>E85/D85*100</f>
        <v>#REF!</v>
      </c>
      <c r="I85" s="20" t="s">
        <v>397</v>
      </c>
      <c r="J85" s="3" t="s">
        <v>214</v>
      </c>
      <c r="K85" s="11" t="s">
        <v>23</v>
      </c>
      <c r="L85" s="52"/>
      <c r="M85" s="20" t="s">
        <v>397</v>
      </c>
      <c r="N85" s="3" t="s">
        <v>214</v>
      </c>
      <c r="O85" s="11" t="s">
        <v>23</v>
      </c>
      <c r="P85" s="52">
        <v>6</v>
      </c>
      <c r="Q85" s="20" t="s">
        <v>397</v>
      </c>
      <c r="R85" s="3" t="s">
        <v>214</v>
      </c>
      <c r="S85" s="11" t="s">
        <v>23</v>
      </c>
      <c r="T85" s="52"/>
      <c r="U85" s="20" t="s">
        <v>397</v>
      </c>
      <c r="V85" s="3" t="s">
        <v>214</v>
      </c>
      <c r="W85" s="11" t="s">
        <v>23</v>
      </c>
      <c r="X85" s="52"/>
      <c r="Y85" s="20" t="s">
        <v>397</v>
      </c>
      <c r="Z85" s="3" t="s">
        <v>214</v>
      </c>
      <c r="AA85" s="11" t="s">
        <v>23</v>
      </c>
      <c r="AB85" s="52"/>
      <c r="AC85" s="20" t="s">
        <v>397</v>
      </c>
      <c r="AD85" s="3" t="s">
        <v>214</v>
      </c>
      <c r="AE85" s="11" t="s">
        <v>23</v>
      </c>
      <c r="AF85" s="52"/>
      <c r="AG85" s="20" t="s">
        <v>397</v>
      </c>
      <c r="AH85" s="3" t="s">
        <v>214</v>
      </c>
      <c r="AI85" s="11" t="s">
        <v>23</v>
      </c>
      <c r="AJ85" s="52"/>
      <c r="AK85" s="20" t="s">
        <v>397</v>
      </c>
      <c r="AL85" s="3" t="s">
        <v>214</v>
      </c>
      <c r="AM85" s="11" t="s">
        <v>23</v>
      </c>
      <c r="AN85" s="52">
        <v>6</v>
      </c>
      <c r="AO85" s="20" t="s">
        <v>397</v>
      </c>
      <c r="AP85" s="3" t="s">
        <v>214</v>
      </c>
      <c r="AQ85" s="11" t="s">
        <v>23</v>
      </c>
      <c r="AR85" s="52">
        <v>2</v>
      </c>
      <c r="AS85" s="20" t="s">
        <v>397</v>
      </c>
      <c r="AT85" s="3" t="s">
        <v>214</v>
      </c>
      <c r="AU85" s="11" t="s">
        <v>23</v>
      </c>
      <c r="AV85" s="52"/>
      <c r="AW85" s="20" t="s">
        <v>397</v>
      </c>
      <c r="AX85" s="3" t="s">
        <v>214</v>
      </c>
      <c r="AY85" s="11" t="s">
        <v>23</v>
      </c>
      <c r="AZ85" s="52"/>
      <c r="BA85" s="20" t="s">
        <v>397</v>
      </c>
      <c r="BB85" s="3" t="s">
        <v>214</v>
      </c>
      <c r="BC85" s="11" t="s">
        <v>23</v>
      </c>
      <c r="BD85" s="52"/>
      <c r="BE85" s="20" t="s">
        <v>397</v>
      </c>
      <c r="BF85" s="3" t="s">
        <v>214</v>
      </c>
      <c r="BG85" s="11" t="s">
        <v>23</v>
      </c>
      <c r="BH85" s="52"/>
      <c r="BI85" s="20" t="s">
        <v>397</v>
      </c>
      <c r="BJ85" s="3" t="s">
        <v>214</v>
      </c>
      <c r="BK85" s="11" t="s">
        <v>23</v>
      </c>
      <c r="BL85" s="52"/>
      <c r="BM85" s="20" t="s">
        <v>397</v>
      </c>
      <c r="BN85" s="3" t="s">
        <v>214</v>
      </c>
      <c r="BO85" s="11" t="s">
        <v>23</v>
      </c>
      <c r="BP85" s="52"/>
      <c r="BQ85" s="20" t="s">
        <v>397</v>
      </c>
      <c r="BR85" s="3" t="s">
        <v>214</v>
      </c>
      <c r="BS85" s="11" t="s">
        <v>23</v>
      </c>
      <c r="BT85" s="154">
        <v>7</v>
      </c>
      <c r="BU85" s="20" t="s">
        <v>397</v>
      </c>
      <c r="BV85" s="3" t="s">
        <v>214</v>
      </c>
      <c r="BW85" s="11" t="s">
        <v>23</v>
      </c>
      <c r="BX85" s="52"/>
      <c r="BY85" s="253"/>
      <c r="BZ85" s="20" t="s">
        <v>397</v>
      </c>
      <c r="CA85" s="3" t="s">
        <v>214</v>
      </c>
      <c r="CB85" s="11" t="s">
        <v>23</v>
      </c>
      <c r="CC85" s="52"/>
    </row>
    <row r="86" spans="1:81" ht="12.75" hidden="1">
      <c r="A86" s="20" t="s">
        <v>398</v>
      </c>
      <c r="B86" s="3" t="s">
        <v>355</v>
      </c>
      <c r="C86" s="11" t="s">
        <v>20</v>
      </c>
      <c r="D86" s="52">
        <f>L86+P86+T86+X86+AB86+AF86+AJ86+AN86+AR86+AV86+AZ86+BD86+BH86+BL86+BP86+BT86+BX86+CC86</f>
        <v>0</v>
      </c>
      <c r="E86" s="68" t="e">
        <f>#REF!+#REF!+#REF!+#REF!+#REF!+#REF!+#REF!+#REF!+#REF!+#REF!+#REF!+#REF!+#REF!+#REF!+#REF!+#REF!+#REF!+#REF!</f>
        <v>#REF!</v>
      </c>
      <c r="F86" s="77" t="e">
        <f>#REF!+#REF!+#REF!+#REF!+#REF!+#REF!+#REF!+#REF!+#REF!+#REF!+#REF!+#REF!+#REF!+#REF!+#REF!+#REF!+#REF!+#REF!</f>
        <v>#REF!</v>
      </c>
      <c r="G86" s="259"/>
      <c r="I86" s="20" t="s">
        <v>398</v>
      </c>
      <c r="J86" s="3" t="s">
        <v>355</v>
      </c>
      <c r="K86" s="11" t="s">
        <v>20</v>
      </c>
      <c r="L86" s="52"/>
      <c r="M86" s="20" t="s">
        <v>398</v>
      </c>
      <c r="N86" s="3" t="s">
        <v>355</v>
      </c>
      <c r="O86" s="11" t="s">
        <v>20</v>
      </c>
      <c r="P86" s="52"/>
      <c r="Q86" s="20" t="s">
        <v>398</v>
      </c>
      <c r="R86" s="3" t="s">
        <v>355</v>
      </c>
      <c r="S86" s="11" t="s">
        <v>20</v>
      </c>
      <c r="T86" s="52"/>
      <c r="U86" s="20" t="s">
        <v>398</v>
      </c>
      <c r="V86" s="3" t="s">
        <v>355</v>
      </c>
      <c r="W86" s="11" t="s">
        <v>20</v>
      </c>
      <c r="X86" s="52"/>
      <c r="Y86" s="20" t="s">
        <v>398</v>
      </c>
      <c r="Z86" s="3" t="s">
        <v>355</v>
      </c>
      <c r="AA86" s="11" t="s">
        <v>20</v>
      </c>
      <c r="AB86" s="52"/>
      <c r="AC86" s="20" t="s">
        <v>398</v>
      </c>
      <c r="AD86" s="3" t="s">
        <v>355</v>
      </c>
      <c r="AE86" s="11" t="s">
        <v>20</v>
      </c>
      <c r="AF86" s="52"/>
      <c r="AG86" s="20" t="s">
        <v>398</v>
      </c>
      <c r="AH86" s="3" t="s">
        <v>355</v>
      </c>
      <c r="AI86" s="11" t="s">
        <v>20</v>
      </c>
      <c r="AJ86" s="52"/>
      <c r="AK86" s="20" t="s">
        <v>398</v>
      </c>
      <c r="AL86" s="3" t="s">
        <v>355</v>
      </c>
      <c r="AM86" s="11" t="s">
        <v>20</v>
      </c>
      <c r="AN86" s="52"/>
      <c r="AO86" s="20" t="s">
        <v>398</v>
      </c>
      <c r="AP86" s="3" t="s">
        <v>355</v>
      </c>
      <c r="AQ86" s="11" t="s">
        <v>20</v>
      </c>
      <c r="AR86" s="52"/>
      <c r="AS86" s="20" t="s">
        <v>398</v>
      </c>
      <c r="AT86" s="3" t="s">
        <v>355</v>
      </c>
      <c r="AU86" s="11" t="s">
        <v>20</v>
      </c>
      <c r="AV86" s="52"/>
      <c r="AW86" s="20" t="s">
        <v>398</v>
      </c>
      <c r="AX86" s="3" t="s">
        <v>355</v>
      </c>
      <c r="AY86" s="11" t="s">
        <v>20</v>
      </c>
      <c r="AZ86" s="52"/>
      <c r="BA86" s="20" t="s">
        <v>398</v>
      </c>
      <c r="BB86" s="3" t="s">
        <v>355</v>
      </c>
      <c r="BC86" s="11" t="s">
        <v>20</v>
      </c>
      <c r="BD86" s="52"/>
      <c r="BE86" s="20" t="s">
        <v>398</v>
      </c>
      <c r="BF86" s="3" t="s">
        <v>355</v>
      </c>
      <c r="BG86" s="11" t="s">
        <v>20</v>
      </c>
      <c r="BH86" s="52"/>
      <c r="BI86" s="20" t="s">
        <v>398</v>
      </c>
      <c r="BJ86" s="3" t="s">
        <v>355</v>
      </c>
      <c r="BK86" s="11" t="s">
        <v>20</v>
      </c>
      <c r="BL86" s="52"/>
      <c r="BM86" s="20" t="s">
        <v>398</v>
      </c>
      <c r="BN86" s="3" t="s">
        <v>355</v>
      </c>
      <c r="BO86" s="11" t="s">
        <v>20</v>
      </c>
      <c r="BP86" s="52"/>
      <c r="BQ86" s="20" t="s">
        <v>398</v>
      </c>
      <c r="BR86" s="3" t="s">
        <v>355</v>
      </c>
      <c r="BS86" s="11" t="s">
        <v>20</v>
      </c>
      <c r="BT86" s="154"/>
      <c r="BU86" s="20" t="s">
        <v>398</v>
      </c>
      <c r="BV86" s="3" t="s">
        <v>355</v>
      </c>
      <c r="BW86" s="11" t="s">
        <v>20</v>
      </c>
      <c r="BX86" s="52"/>
      <c r="BY86" s="253"/>
      <c r="BZ86" s="20" t="s">
        <v>398</v>
      </c>
      <c r="CA86" s="3" t="s">
        <v>355</v>
      </c>
      <c r="CB86" s="11" t="s">
        <v>20</v>
      </c>
      <c r="CC86" s="52"/>
    </row>
    <row r="87" spans="1:81" ht="15.75">
      <c r="A87" s="39"/>
      <c r="B87" s="41" t="s">
        <v>216</v>
      </c>
      <c r="C87" s="43"/>
      <c r="D87" s="40"/>
      <c r="E87" s="264"/>
      <c r="F87" s="106" t="e">
        <f>F65+F72+F82</f>
        <v>#REF!</v>
      </c>
      <c r="G87" s="263"/>
      <c r="I87" s="39"/>
      <c r="J87" s="41" t="s">
        <v>216</v>
      </c>
      <c r="K87" s="43"/>
      <c r="L87" s="160"/>
      <c r="M87" s="39"/>
      <c r="N87" s="41" t="s">
        <v>216</v>
      </c>
      <c r="O87" s="43"/>
      <c r="P87" s="160"/>
      <c r="Q87" s="39"/>
      <c r="R87" s="41" t="s">
        <v>216</v>
      </c>
      <c r="S87" s="43"/>
      <c r="T87" s="40"/>
      <c r="U87" s="39"/>
      <c r="V87" s="41" t="s">
        <v>216</v>
      </c>
      <c r="W87" s="43"/>
      <c r="X87" s="265"/>
      <c r="Y87" s="39"/>
      <c r="Z87" s="41" t="s">
        <v>216</v>
      </c>
      <c r="AA87" s="43"/>
      <c r="AB87" s="40"/>
      <c r="AC87" s="39"/>
      <c r="AD87" s="41" t="s">
        <v>216</v>
      </c>
      <c r="AE87" s="43"/>
      <c r="AF87" s="40"/>
      <c r="AG87" s="39"/>
      <c r="AH87" s="41" t="s">
        <v>216</v>
      </c>
      <c r="AI87" s="43"/>
      <c r="AJ87" s="40"/>
      <c r="AK87" s="39"/>
      <c r="AL87" s="41" t="s">
        <v>216</v>
      </c>
      <c r="AM87" s="43"/>
      <c r="AN87" s="40"/>
      <c r="AO87" s="39"/>
      <c r="AP87" s="41" t="s">
        <v>216</v>
      </c>
      <c r="AQ87" s="43"/>
      <c r="AR87" s="40"/>
      <c r="AS87" s="39"/>
      <c r="AT87" s="41" t="s">
        <v>216</v>
      </c>
      <c r="AU87" s="43"/>
      <c r="AV87" s="40"/>
      <c r="AW87" s="39"/>
      <c r="AX87" s="41" t="s">
        <v>216</v>
      </c>
      <c r="AY87" s="43"/>
      <c r="AZ87" s="40"/>
      <c r="BA87" s="39"/>
      <c r="BB87" s="41" t="s">
        <v>216</v>
      </c>
      <c r="BC87" s="43"/>
      <c r="BD87" s="40"/>
      <c r="BE87" s="39"/>
      <c r="BF87" s="41" t="s">
        <v>216</v>
      </c>
      <c r="BG87" s="43"/>
      <c r="BH87" s="40"/>
      <c r="BI87" s="39"/>
      <c r="BJ87" s="41" t="s">
        <v>216</v>
      </c>
      <c r="BK87" s="43"/>
      <c r="BL87" s="40"/>
      <c r="BM87" s="39"/>
      <c r="BN87" s="41" t="s">
        <v>216</v>
      </c>
      <c r="BO87" s="43"/>
      <c r="BP87" s="40"/>
      <c r="BQ87" s="39"/>
      <c r="BR87" s="41" t="s">
        <v>216</v>
      </c>
      <c r="BS87" s="43"/>
      <c r="BT87" s="40"/>
      <c r="BU87" s="39"/>
      <c r="BV87" s="41" t="s">
        <v>216</v>
      </c>
      <c r="BW87" s="43"/>
      <c r="BX87" s="40"/>
      <c r="BY87" s="247"/>
      <c r="BZ87" s="39"/>
      <c r="CA87" s="41" t="s">
        <v>216</v>
      </c>
      <c r="CB87" s="43"/>
      <c r="CC87" s="40"/>
    </row>
    <row r="88" spans="1:81" s="401" customFormat="1" ht="16.5" customHeight="1">
      <c r="A88" s="397" t="s">
        <v>160</v>
      </c>
      <c r="B88" s="372" t="s">
        <v>375</v>
      </c>
      <c r="C88" s="398"/>
      <c r="D88" s="231"/>
      <c r="E88" s="399"/>
      <c r="F88" s="399"/>
      <c r="G88" s="403"/>
      <c r="I88" s="397" t="s">
        <v>160</v>
      </c>
      <c r="J88" s="372" t="s">
        <v>375</v>
      </c>
      <c r="K88" s="398"/>
      <c r="L88" s="402"/>
      <c r="M88" s="397" t="s">
        <v>160</v>
      </c>
      <c r="N88" s="372" t="s">
        <v>375</v>
      </c>
      <c r="O88" s="398"/>
      <c r="P88" s="402"/>
      <c r="Q88" s="397" t="s">
        <v>160</v>
      </c>
      <c r="R88" s="372" t="s">
        <v>375</v>
      </c>
      <c r="S88" s="398"/>
      <c r="T88" s="231"/>
      <c r="U88" s="397" t="s">
        <v>160</v>
      </c>
      <c r="V88" s="372" t="s">
        <v>375</v>
      </c>
      <c r="W88" s="398"/>
      <c r="X88" s="231"/>
      <c r="Y88" s="397" t="s">
        <v>160</v>
      </c>
      <c r="Z88" s="372" t="s">
        <v>375</v>
      </c>
      <c r="AA88" s="398"/>
      <c r="AB88" s="231"/>
      <c r="AC88" s="397" t="s">
        <v>160</v>
      </c>
      <c r="AD88" s="372" t="s">
        <v>375</v>
      </c>
      <c r="AE88" s="398"/>
      <c r="AF88" s="231"/>
      <c r="AG88" s="397" t="s">
        <v>160</v>
      </c>
      <c r="AH88" s="372" t="s">
        <v>375</v>
      </c>
      <c r="AI88" s="398"/>
      <c r="AJ88" s="231"/>
      <c r="AK88" s="397" t="s">
        <v>160</v>
      </c>
      <c r="AL88" s="372" t="s">
        <v>375</v>
      </c>
      <c r="AM88" s="398"/>
      <c r="AN88" s="231"/>
      <c r="AO88" s="397" t="s">
        <v>160</v>
      </c>
      <c r="AP88" s="372" t="s">
        <v>375</v>
      </c>
      <c r="AQ88" s="398"/>
      <c r="AR88" s="231"/>
      <c r="AS88" s="397" t="s">
        <v>160</v>
      </c>
      <c r="AT88" s="372" t="s">
        <v>375</v>
      </c>
      <c r="AU88" s="398"/>
      <c r="AV88" s="231"/>
      <c r="AW88" s="397" t="s">
        <v>160</v>
      </c>
      <c r="AX88" s="372" t="s">
        <v>375</v>
      </c>
      <c r="AY88" s="398"/>
      <c r="AZ88" s="231"/>
      <c r="BA88" s="397" t="s">
        <v>160</v>
      </c>
      <c r="BB88" s="372" t="s">
        <v>375</v>
      </c>
      <c r="BC88" s="398"/>
      <c r="BD88" s="231"/>
      <c r="BE88" s="397" t="s">
        <v>160</v>
      </c>
      <c r="BF88" s="372" t="s">
        <v>375</v>
      </c>
      <c r="BG88" s="398"/>
      <c r="BH88" s="231"/>
      <c r="BI88" s="397" t="s">
        <v>160</v>
      </c>
      <c r="BJ88" s="372" t="s">
        <v>375</v>
      </c>
      <c r="BK88" s="398"/>
      <c r="BL88" s="231"/>
      <c r="BM88" s="397" t="s">
        <v>160</v>
      </c>
      <c r="BN88" s="372" t="s">
        <v>375</v>
      </c>
      <c r="BO88" s="398"/>
      <c r="BP88" s="231"/>
      <c r="BQ88" s="397" t="s">
        <v>160</v>
      </c>
      <c r="BR88" s="372" t="s">
        <v>375</v>
      </c>
      <c r="BS88" s="398"/>
      <c r="BT88" s="231"/>
      <c r="BU88" s="397" t="s">
        <v>160</v>
      </c>
      <c r="BV88" s="372" t="s">
        <v>375</v>
      </c>
      <c r="BW88" s="398"/>
      <c r="BX88" s="231"/>
      <c r="BY88" s="399"/>
      <c r="BZ88" s="397" t="s">
        <v>160</v>
      </c>
      <c r="CA88" s="372" t="s">
        <v>375</v>
      </c>
      <c r="CB88" s="398"/>
      <c r="CC88" s="231"/>
    </row>
    <row r="89" spans="1:81" ht="15" customHeight="1" hidden="1">
      <c r="A89" s="20" t="s">
        <v>218</v>
      </c>
      <c r="B89" s="3" t="s">
        <v>75</v>
      </c>
      <c r="C89" s="11" t="s">
        <v>13</v>
      </c>
      <c r="D89" s="60">
        <f aca="true" t="shared" si="3" ref="D89:D101">L89+P89+T89+X89+AB89+AF89+AJ89+AN89+AR89+AV89+AZ89+BD89+BH89+BL89+BP89+BT89+BX89+CC89</f>
        <v>0</v>
      </c>
      <c r="E89" s="68" t="e">
        <f>#REF!+#REF!+#REF!+#REF!+#REF!+#REF!+#REF!+#REF!+#REF!+#REF!+#REF!+#REF!+#REF!+#REF!+#REF!+#REF!+#REF!+#REF!</f>
        <v>#REF!</v>
      </c>
      <c r="F89" s="77" t="e">
        <f>#REF!+#REF!+#REF!+#REF!+#REF!+#REF!+#REF!+#REF!+#REF!+#REF!+#REF!+#REF!+#REF!+#REF!+#REF!+#REF!+#REF!+#REF!</f>
        <v>#REF!</v>
      </c>
      <c r="G89" s="346"/>
      <c r="I89" s="20" t="s">
        <v>218</v>
      </c>
      <c r="J89" s="3" t="s">
        <v>75</v>
      </c>
      <c r="K89" s="11" t="s">
        <v>13</v>
      </c>
      <c r="L89" s="59"/>
      <c r="M89" s="20" t="s">
        <v>218</v>
      </c>
      <c r="N89" s="3" t="s">
        <v>75</v>
      </c>
      <c r="O89" s="11" t="s">
        <v>13</v>
      </c>
      <c r="P89" s="59"/>
      <c r="Q89" s="20" t="s">
        <v>218</v>
      </c>
      <c r="R89" s="3" t="s">
        <v>75</v>
      </c>
      <c r="S89" s="11" t="s">
        <v>13</v>
      </c>
      <c r="T89" s="59"/>
      <c r="U89" s="20" t="s">
        <v>218</v>
      </c>
      <c r="V89" s="3" t="s">
        <v>75</v>
      </c>
      <c r="W89" s="11" t="s">
        <v>13</v>
      </c>
      <c r="X89" s="59"/>
      <c r="Y89" s="20" t="s">
        <v>218</v>
      </c>
      <c r="Z89" s="3" t="s">
        <v>75</v>
      </c>
      <c r="AA89" s="11" t="s">
        <v>13</v>
      </c>
      <c r="AB89" s="59"/>
      <c r="AC89" s="20" t="s">
        <v>218</v>
      </c>
      <c r="AD89" s="3" t="s">
        <v>75</v>
      </c>
      <c r="AE89" s="11" t="s">
        <v>13</v>
      </c>
      <c r="AF89" s="59"/>
      <c r="AG89" s="20" t="s">
        <v>218</v>
      </c>
      <c r="AH89" s="3" t="s">
        <v>75</v>
      </c>
      <c r="AI89" s="11" t="s">
        <v>13</v>
      </c>
      <c r="AJ89" s="59"/>
      <c r="AK89" s="20" t="s">
        <v>218</v>
      </c>
      <c r="AL89" s="3" t="s">
        <v>75</v>
      </c>
      <c r="AM89" s="11" t="s">
        <v>13</v>
      </c>
      <c r="AN89" s="59"/>
      <c r="AO89" s="20" t="s">
        <v>218</v>
      </c>
      <c r="AP89" s="3" t="s">
        <v>75</v>
      </c>
      <c r="AQ89" s="11" t="s">
        <v>13</v>
      </c>
      <c r="AR89" s="59"/>
      <c r="AS89" s="20" t="s">
        <v>218</v>
      </c>
      <c r="AT89" s="3" t="s">
        <v>75</v>
      </c>
      <c r="AU89" s="11" t="s">
        <v>13</v>
      </c>
      <c r="AV89" s="59"/>
      <c r="AW89" s="20" t="s">
        <v>218</v>
      </c>
      <c r="AX89" s="3" t="s">
        <v>75</v>
      </c>
      <c r="AY89" s="11" t="s">
        <v>13</v>
      </c>
      <c r="AZ89" s="59"/>
      <c r="BA89" s="20" t="s">
        <v>218</v>
      </c>
      <c r="BB89" s="3" t="s">
        <v>75</v>
      </c>
      <c r="BC89" s="11" t="s">
        <v>13</v>
      </c>
      <c r="BD89" s="59"/>
      <c r="BE89" s="20" t="s">
        <v>218</v>
      </c>
      <c r="BF89" s="3" t="s">
        <v>75</v>
      </c>
      <c r="BG89" s="11" t="s">
        <v>13</v>
      </c>
      <c r="BH89" s="59"/>
      <c r="BI89" s="20" t="s">
        <v>218</v>
      </c>
      <c r="BJ89" s="3" t="s">
        <v>75</v>
      </c>
      <c r="BK89" s="11" t="s">
        <v>13</v>
      </c>
      <c r="BL89" s="59"/>
      <c r="BM89" s="20" t="s">
        <v>218</v>
      </c>
      <c r="BN89" s="3" t="s">
        <v>75</v>
      </c>
      <c r="BO89" s="11" t="s">
        <v>13</v>
      </c>
      <c r="BP89" s="59"/>
      <c r="BQ89" s="20" t="s">
        <v>218</v>
      </c>
      <c r="BR89" s="3" t="s">
        <v>75</v>
      </c>
      <c r="BS89" s="11" t="s">
        <v>13</v>
      </c>
      <c r="BT89" s="658"/>
      <c r="BU89" s="20" t="s">
        <v>218</v>
      </c>
      <c r="BV89" s="3" t="s">
        <v>75</v>
      </c>
      <c r="BW89" s="11" t="s">
        <v>13</v>
      </c>
      <c r="BX89" s="59"/>
      <c r="BY89" s="391"/>
      <c r="BZ89" s="20" t="s">
        <v>218</v>
      </c>
      <c r="CA89" s="3" t="s">
        <v>75</v>
      </c>
      <c r="CB89" s="11" t="s">
        <v>13</v>
      </c>
      <c r="CC89" s="59"/>
    </row>
    <row r="90" spans="1:81" ht="15" customHeight="1">
      <c r="A90" s="20" t="s">
        <v>399</v>
      </c>
      <c r="B90" s="3" t="s">
        <v>139</v>
      </c>
      <c r="C90" s="11" t="s">
        <v>28</v>
      </c>
      <c r="D90" s="60">
        <f t="shared" si="3"/>
        <v>0.07</v>
      </c>
      <c r="E90" s="68" t="e">
        <f>#REF!+#REF!+#REF!+#REF!+#REF!+#REF!+#REF!+#REF!+#REF!+#REF!+#REF!+#REF!+#REF!+#REF!+#REF!+#REF!+#REF!+#REF!</f>
        <v>#REF!</v>
      </c>
      <c r="F90" s="77" t="e">
        <f>#REF!+#REF!+#REF!+#REF!+#REF!+#REF!+#REF!+#REF!+#REF!+#REF!+#REF!+#REF!+#REF!+#REF!+#REF!+#REF!+#REF!+#REF!</f>
        <v>#REF!</v>
      </c>
      <c r="G90" s="346"/>
      <c r="I90" s="20" t="s">
        <v>399</v>
      </c>
      <c r="J90" s="3" t="s">
        <v>139</v>
      </c>
      <c r="K90" s="11" t="s">
        <v>28</v>
      </c>
      <c r="L90" s="59"/>
      <c r="M90" s="20" t="s">
        <v>399</v>
      </c>
      <c r="N90" s="3" t="s">
        <v>139</v>
      </c>
      <c r="O90" s="11" t="s">
        <v>28</v>
      </c>
      <c r="P90" s="59"/>
      <c r="Q90" s="20" t="s">
        <v>399</v>
      </c>
      <c r="R90" s="3" t="s">
        <v>139</v>
      </c>
      <c r="S90" s="11" t="s">
        <v>28</v>
      </c>
      <c r="T90" s="59"/>
      <c r="U90" s="20" t="s">
        <v>399</v>
      </c>
      <c r="V90" s="3" t="s">
        <v>139</v>
      </c>
      <c r="W90" s="11" t="s">
        <v>28</v>
      </c>
      <c r="X90" s="59"/>
      <c r="Y90" s="20" t="s">
        <v>399</v>
      </c>
      <c r="Z90" s="3" t="s">
        <v>139</v>
      </c>
      <c r="AA90" s="11" t="s">
        <v>28</v>
      </c>
      <c r="AB90" s="59"/>
      <c r="AC90" s="20" t="s">
        <v>399</v>
      </c>
      <c r="AD90" s="3" t="s">
        <v>139</v>
      </c>
      <c r="AE90" s="11" t="s">
        <v>28</v>
      </c>
      <c r="AF90" s="59"/>
      <c r="AG90" s="20" t="s">
        <v>399</v>
      </c>
      <c r="AH90" s="3" t="s">
        <v>139</v>
      </c>
      <c r="AI90" s="11" t="s">
        <v>28</v>
      </c>
      <c r="AJ90" s="59"/>
      <c r="AK90" s="20" t="s">
        <v>399</v>
      </c>
      <c r="AL90" s="3" t="s">
        <v>139</v>
      </c>
      <c r="AM90" s="11" t="s">
        <v>28</v>
      </c>
      <c r="AN90" s="60"/>
      <c r="AO90" s="20" t="s">
        <v>399</v>
      </c>
      <c r="AP90" s="3" t="s">
        <v>139</v>
      </c>
      <c r="AQ90" s="11" t="s">
        <v>28</v>
      </c>
      <c r="AR90" s="60">
        <v>0.07</v>
      </c>
      <c r="AS90" s="20" t="s">
        <v>399</v>
      </c>
      <c r="AT90" s="3" t="s">
        <v>139</v>
      </c>
      <c r="AU90" s="11" t="s">
        <v>28</v>
      </c>
      <c r="AV90" s="59"/>
      <c r="AW90" s="20" t="s">
        <v>399</v>
      </c>
      <c r="AX90" s="3" t="s">
        <v>139</v>
      </c>
      <c r="AY90" s="11" t="s">
        <v>28</v>
      </c>
      <c r="AZ90" s="59"/>
      <c r="BA90" s="20" t="s">
        <v>399</v>
      </c>
      <c r="BB90" s="3" t="s">
        <v>139</v>
      </c>
      <c r="BC90" s="11" t="s">
        <v>28</v>
      </c>
      <c r="BD90" s="59"/>
      <c r="BE90" s="20" t="s">
        <v>399</v>
      </c>
      <c r="BF90" s="3" t="s">
        <v>139</v>
      </c>
      <c r="BG90" s="11" t="s">
        <v>28</v>
      </c>
      <c r="BH90" s="59"/>
      <c r="BI90" s="20" t="s">
        <v>399</v>
      </c>
      <c r="BJ90" s="3" t="s">
        <v>139</v>
      </c>
      <c r="BK90" s="11" t="s">
        <v>28</v>
      </c>
      <c r="BL90" s="59"/>
      <c r="BM90" s="20" t="s">
        <v>399</v>
      </c>
      <c r="BN90" s="3" t="s">
        <v>139</v>
      </c>
      <c r="BO90" s="11" t="s">
        <v>28</v>
      </c>
      <c r="BP90" s="59"/>
      <c r="BQ90" s="20" t="s">
        <v>399</v>
      </c>
      <c r="BR90" s="3" t="s">
        <v>139</v>
      </c>
      <c r="BS90" s="11" t="s">
        <v>28</v>
      </c>
      <c r="BT90" s="658"/>
      <c r="BU90" s="20" t="s">
        <v>399</v>
      </c>
      <c r="BV90" s="3" t="s">
        <v>139</v>
      </c>
      <c r="BW90" s="11" t="s">
        <v>28</v>
      </c>
      <c r="BX90" s="59"/>
      <c r="BY90" s="391"/>
      <c r="BZ90" s="20" t="s">
        <v>399</v>
      </c>
      <c r="CA90" s="3" t="s">
        <v>139</v>
      </c>
      <c r="CB90" s="11" t="s">
        <v>28</v>
      </c>
      <c r="CC90" s="59"/>
    </row>
    <row r="91" spans="1:81" ht="15" customHeight="1">
      <c r="A91" s="20" t="s">
        <v>400</v>
      </c>
      <c r="B91" s="3" t="s">
        <v>73</v>
      </c>
      <c r="C91" s="11" t="s">
        <v>70</v>
      </c>
      <c r="D91" s="52">
        <f t="shared" si="3"/>
        <v>38.8</v>
      </c>
      <c r="E91" s="68" t="e">
        <f>#REF!+#REF!+#REF!+#REF!+#REF!+#REF!+#REF!+#REF!+#REF!+#REF!+#REF!+#REF!+#REF!+#REF!+#REF!+#REF!+#REF!+#REF!</f>
        <v>#REF!</v>
      </c>
      <c r="F91" s="77" t="e">
        <f>#REF!+#REF!+#REF!+#REF!+#REF!+#REF!+#REF!+#REF!+#REF!+#REF!+#REF!+#REF!+#REF!+#REF!+#REF!+#REF!+#REF!+#REF!</f>
        <v>#REF!</v>
      </c>
      <c r="G91" s="346"/>
      <c r="I91" s="20" t="s">
        <v>400</v>
      </c>
      <c r="J91" s="3" t="s">
        <v>73</v>
      </c>
      <c r="K91" s="11" t="s">
        <v>70</v>
      </c>
      <c r="L91" s="51"/>
      <c r="M91" s="20" t="s">
        <v>400</v>
      </c>
      <c r="N91" s="3" t="s">
        <v>73</v>
      </c>
      <c r="O91" s="11" t="s">
        <v>70</v>
      </c>
      <c r="P91" s="51"/>
      <c r="Q91" s="20" t="s">
        <v>400</v>
      </c>
      <c r="R91" s="3" t="s">
        <v>73</v>
      </c>
      <c r="S91" s="11" t="s">
        <v>70</v>
      </c>
      <c r="T91" s="51"/>
      <c r="U91" s="20" t="s">
        <v>400</v>
      </c>
      <c r="V91" s="3" t="s">
        <v>73</v>
      </c>
      <c r="W91" s="11" t="s">
        <v>70</v>
      </c>
      <c r="X91" s="51"/>
      <c r="Y91" s="20" t="s">
        <v>400</v>
      </c>
      <c r="Z91" s="3" t="s">
        <v>73</v>
      </c>
      <c r="AA91" s="11" t="s">
        <v>70</v>
      </c>
      <c r="AB91" s="51"/>
      <c r="AC91" s="20" t="s">
        <v>400</v>
      </c>
      <c r="AD91" s="3" t="s">
        <v>73</v>
      </c>
      <c r="AE91" s="11" t="s">
        <v>70</v>
      </c>
      <c r="AF91" s="51"/>
      <c r="AG91" s="20" t="s">
        <v>400</v>
      </c>
      <c r="AH91" s="3" t="s">
        <v>73</v>
      </c>
      <c r="AI91" s="11" t="s">
        <v>70</v>
      </c>
      <c r="AJ91" s="51"/>
      <c r="AK91" s="20" t="s">
        <v>400</v>
      </c>
      <c r="AL91" s="3" t="s">
        <v>73</v>
      </c>
      <c r="AM91" s="11" t="s">
        <v>70</v>
      </c>
      <c r="AN91" s="52">
        <v>8</v>
      </c>
      <c r="AO91" s="20" t="s">
        <v>400</v>
      </c>
      <c r="AP91" s="3" t="s">
        <v>73</v>
      </c>
      <c r="AQ91" s="11" t="s">
        <v>70</v>
      </c>
      <c r="AR91" s="51"/>
      <c r="AS91" s="20" t="s">
        <v>400</v>
      </c>
      <c r="AT91" s="3" t="s">
        <v>73</v>
      </c>
      <c r="AU91" s="11" t="s">
        <v>70</v>
      </c>
      <c r="AV91" s="51">
        <v>1</v>
      </c>
      <c r="AW91" s="20" t="s">
        <v>400</v>
      </c>
      <c r="AX91" s="3" t="s">
        <v>73</v>
      </c>
      <c r="AY91" s="11" t="s">
        <v>70</v>
      </c>
      <c r="AZ91" s="51">
        <v>2.3</v>
      </c>
      <c r="BA91" s="20" t="s">
        <v>400</v>
      </c>
      <c r="BB91" s="3" t="s">
        <v>73</v>
      </c>
      <c r="BC91" s="11" t="s">
        <v>70</v>
      </c>
      <c r="BD91" s="52">
        <v>10</v>
      </c>
      <c r="BE91" s="20" t="s">
        <v>400</v>
      </c>
      <c r="BF91" s="3" t="s">
        <v>73</v>
      </c>
      <c r="BG91" s="11" t="s">
        <v>70</v>
      </c>
      <c r="BH91" s="52">
        <v>7</v>
      </c>
      <c r="BI91" s="20" t="s">
        <v>400</v>
      </c>
      <c r="BJ91" s="3" t="s">
        <v>73</v>
      </c>
      <c r="BK91" s="11" t="s">
        <v>70</v>
      </c>
      <c r="BL91" s="51">
        <v>7</v>
      </c>
      <c r="BM91" s="20" t="s">
        <v>400</v>
      </c>
      <c r="BN91" s="3" t="s">
        <v>73</v>
      </c>
      <c r="BO91" s="11" t="s">
        <v>70</v>
      </c>
      <c r="BP91" s="51"/>
      <c r="BQ91" s="20" t="s">
        <v>400</v>
      </c>
      <c r="BR91" s="3" t="s">
        <v>73</v>
      </c>
      <c r="BS91" s="11" t="s">
        <v>70</v>
      </c>
      <c r="BT91" s="51"/>
      <c r="BU91" s="20" t="s">
        <v>400</v>
      </c>
      <c r="BV91" s="3" t="s">
        <v>73</v>
      </c>
      <c r="BW91" s="11" t="s">
        <v>70</v>
      </c>
      <c r="BX91" s="51">
        <v>1.5</v>
      </c>
      <c r="BY91" s="391"/>
      <c r="BZ91" s="20" t="s">
        <v>400</v>
      </c>
      <c r="CA91" s="3" t="s">
        <v>73</v>
      </c>
      <c r="CB91" s="11" t="s">
        <v>70</v>
      </c>
      <c r="CC91" s="52">
        <v>2</v>
      </c>
    </row>
    <row r="92" spans="1:81" ht="15" customHeight="1" hidden="1">
      <c r="A92" s="20" t="s">
        <v>219</v>
      </c>
      <c r="B92" s="3" t="s">
        <v>67</v>
      </c>
      <c r="C92" s="11" t="s">
        <v>13</v>
      </c>
      <c r="D92" s="52">
        <f t="shared" si="3"/>
        <v>0</v>
      </c>
      <c r="E92" s="68" t="e">
        <f>#REF!+#REF!+#REF!+#REF!+#REF!+#REF!+#REF!+#REF!+#REF!+#REF!+#REF!+#REF!+#REF!+#REF!+#REF!+#REF!+#REF!+#REF!</f>
        <v>#REF!</v>
      </c>
      <c r="F92" s="77" t="e">
        <f>#REF!+#REF!+#REF!+#REF!+#REF!+#REF!+#REF!+#REF!+#REF!+#REF!+#REF!+#REF!+#REF!+#REF!+#REF!+#REF!+#REF!+#REF!</f>
        <v>#REF!</v>
      </c>
      <c r="G92" s="346"/>
      <c r="I92" s="20" t="s">
        <v>219</v>
      </c>
      <c r="J92" s="3" t="s">
        <v>67</v>
      </c>
      <c r="K92" s="11" t="s">
        <v>13</v>
      </c>
      <c r="L92" s="59"/>
      <c r="M92" s="20" t="s">
        <v>219</v>
      </c>
      <c r="N92" s="3" t="s">
        <v>67</v>
      </c>
      <c r="O92" s="11" t="s">
        <v>13</v>
      </c>
      <c r="P92" s="59"/>
      <c r="Q92" s="20" t="s">
        <v>219</v>
      </c>
      <c r="R92" s="3" t="s">
        <v>67</v>
      </c>
      <c r="S92" s="11" t="s">
        <v>13</v>
      </c>
      <c r="T92" s="59"/>
      <c r="U92" s="20" t="s">
        <v>219</v>
      </c>
      <c r="V92" s="3" t="s">
        <v>67</v>
      </c>
      <c r="W92" s="11" t="s">
        <v>13</v>
      </c>
      <c r="X92" s="59"/>
      <c r="Y92" s="20" t="s">
        <v>219</v>
      </c>
      <c r="Z92" s="3" t="s">
        <v>67</v>
      </c>
      <c r="AA92" s="11" t="s">
        <v>13</v>
      </c>
      <c r="AB92" s="59"/>
      <c r="AC92" s="20" t="s">
        <v>219</v>
      </c>
      <c r="AD92" s="3" t="s">
        <v>67</v>
      </c>
      <c r="AE92" s="11" t="s">
        <v>13</v>
      </c>
      <c r="AF92" s="59"/>
      <c r="AG92" s="20" t="s">
        <v>219</v>
      </c>
      <c r="AH92" s="3" t="s">
        <v>67</v>
      </c>
      <c r="AI92" s="11" t="s">
        <v>13</v>
      </c>
      <c r="AJ92" s="59"/>
      <c r="AK92" s="20" t="s">
        <v>219</v>
      </c>
      <c r="AL92" s="3" t="s">
        <v>67</v>
      </c>
      <c r="AM92" s="11" t="s">
        <v>13</v>
      </c>
      <c r="AN92" s="59"/>
      <c r="AO92" s="20" t="s">
        <v>219</v>
      </c>
      <c r="AP92" s="3" t="s">
        <v>67</v>
      </c>
      <c r="AQ92" s="11" t="s">
        <v>13</v>
      </c>
      <c r="AR92" s="59"/>
      <c r="AS92" s="20" t="s">
        <v>219</v>
      </c>
      <c r="AT92" s="3" t="s">
        <v>67</v>
      </c>
      <c r="AU92" s="11" t="s">
        <v>13</v>
      </c>
      <c r="AV92" s="59"/>
      <c r="AW92" s="20" t="s">
        <v>219</v>
      </c>
      <c r="AX92" s="3" t="s">
        <v>67</v>
      </c>
      <c r="AY92" s="11" t="s">
        <v>13</v>
      </c>
      <c r="AZ92" s="59"/>
      <c r="BA92" s="20" t="s">
        <v>219</v>
      </c>
      <c r="BB92" s="3" t="s">
        <v>67</v>
      </c>
      <c r="BC92" s="11" t="s">
        <v>13</v>
      </c>
      <c r="BD92" s="59"/>
      <c r="BE92" s="20" t="s">
        <v>219</v>
      </c>
      <c r="BF92" s="3" t="s">
        <v>67</v>
      </c>
      <c r="BG92" s="11" t="s">
        <v>13</v>
      </c>
      <c r="BH92" s="59"/>
      <c r="BI92" s="20" t="s">
        <v>219</v>
      </c>
      <c r="BJ92" s="3" t="s">
        <v>67</v>
      </c>
      <c r="BK92" s="11" t="s">
        <v>13</v>
      </c>
      <c r="BL92" s="59"/>
      <c r="BM92" s="20" t="s">
        <v>219</v>
      </c>
      <c r="BN92" s="3" t="s">
        <v>67</v>
      </c>
      <c r="BO92" s="11" t="s">
        <v>13</v>
      </c>
      <c r="BP92" s="59"/>
      <c r="BQ92" s="20" t="s">
        <v>219</v>
      </c>
      <c r="BR92" s="3" t="s">
        <v>67</v>
      </c>
      <c r="BS92" s="11" t="s">
        <v>13</v>
      </c>
      <c r="BT92" s="658"/>
      <c r="BU92" s="20" t="s">
        <v>219</v>
      </c>
      <c r="BV92" s="3" t="s">
        <v>67</v>
      </c>
      <c r="BW92" s="11" t="s">
        <v>13</v>
      </c>
      <c r="BX92" s="59"/>
      <c r="BY92" s="391"/>
      <c r="BZ92" s="20" t="s">
        <v>219</v>
      </c>
      <c r="CA92" s="3" t="s">
        <v>67</v>
      </c>
      <c r="CB92" s="11" t="s">
        <v>13</v>
      </c>
      <c r="CC92" s="59"/>
    </row>
    <row r="93" spans="1:81" ht="17.25" customHeight="1">
      <c r="A93" s="20" t="s">
        <v>401</v>
      </c>
      <c r="B93" s="3" t="s">
        <v>372</v>
      </c>
      <c r="C93" s="11" t="s">
        <v>10</v>
      </c>
      <c r="D93" s="52">
        <f t="shared" si="3"/>
        <v>12</v>
      </c>
      <c r="E93" s="68" t="e">
        <f>#REF!+#REF!+#REF!+#REF!+#REF!+#REF!+#REF!+#REF!+#REF!+#REF!+#REF!+#REF!+#REF!+#REF!+#REF!+#REF!+#REF!+#REF!</f>
        <v>#REF!</v>
      </c>
      <c r="F93" s="77" t="e">
        <f>#REF!+#REF!+#REF!+#REF!+#REF!+#REF!+#REF!+#REF!+#REF!+#REF!+#REF!+#REF!+#REF!+#REF!+#REF!+#REF!+#REF!+#REF!</f>
        <v>#REF!</v>
      </c>
      <c r="G93" s="346"/>
      <c r="I93" s="20" t="s">
        <v>401</v>
      </c>
      <c r="J93" s="3" t="s">
        <v>372</v>
      </c>
      <c r="K93" s="11" t="s">
        <v>10</v>
      </c>
      <c r="L93" s="52"/>
      <c r="M93" s="20" t="s">
        <v>401</v>
      </c>
      <c r="N93" s="3" t="s">
        <v>372</v>
      </c>
      <c r="O93" s="11" t="s">
        <v>10</v>
      </c>
      <c r="P93" s="52"/>
      <c r="Q93" s="20" t="s">
        <v>401</v>
      </c>
      <c r="R93" s="3" t="s">
        <v>372</v>
      </c>
      <c r="S93" s="11" t="s">
        <v>10</v>
      </c>
      <c r="T93" s="52">
        <v>1</v>
      </c>
      <c r="U93" s="20" t="s">
        <v>401</v>
      </c>
      <c r="V93" s="3" t="s">
        <v>372</v>
      </c>
      <c r="W93" s="11" t="s">
        <v>10</v>
      </c>
      <c r="X93" s="52">
        <v>1</v>
      </c>
      <c r="Y93" s="20" t="s">
        <v>401</v>
      </c>
      <c r="Z93" s="3" t="s">
        <v>372</v>
      </c>
      <c r="AA93" s="11" t="s">
        <v>10</v>
      </c>
      <c r="AB93" s="52"/>
      <c r="AC93" s="20" t="s">
        <v>401</v>
      </c>
      <c r="AD93" s="3" t="s">
        <v>372</v>
      </c>
      <c r="AE93" s="11" t="s">
        <v>10</v>
      </c>
      <c r="AF93" s="52"/>
      <c r="AG93" s="20" t="s">
        <v>401</v>
      </c>
      <c r="AH93" s="3" t="s">
        <v>372</v>
      </c>
      <c r="AI93" s="11" t="s">
        <v>10</v>
      </c>
      <c r="AJ93" s="52">
        <v>1</v>
      </c>
      <c r="AK93" s="20" t="s">
        <v>401</v>
      </c>
      <c r="AL93" s="3" t="s">
        <v>372</v>
      </c>
      <c r="AM93" s="11" t="s">
        <v>10</v>
      </c>
      <c r="AN93" s="52"/>
      <c r="AO93" s="20" t="s">
        <v>401</v>
      </c>
      <c r="AP93" s="3" t="s">
        <v>372</v>
      </c>
      <c r="AQ93" s="11" t="s">
        <v>10</v>
      </c>
      <c r="AR93" s="52">
        <v>3</v>
      </c>
      <c r="AS93" s="20" t="s">
        <v>401</v>
      </c>
      <c r="AT93" s="3" t="s">
        <v>372</v>
      </c>
      <c r="AU93" s="11" t="s">
        <v>10</v>
      </c>
      <c r="AV93" s="52">
        <v>2</v>
      </c>
      <c r="AW93" s="20" t="s">
        <v>401</v>
      </c>
      <c r="AX93" s="3" t="s">
        <v>372</v>
      </c>
      <c r="AY93" s="11" t="s">
        <v>10</v>
      </c>
      <c r="AZ93" s="52">
        <v>2</v>
      </c>
      <c r="BA93" s="20" t="s">
        <v>401</v>
      </c>
      <c r="BB93" s="3" t="s">
        <v>372</v>
      </c>
      <c r="BC93" s="11" t="s">
        <v>10</v>
      </c>
      <c r="BD93" s="52">
        <f>3*0</f>
        <v>0</v>
      </c>
      <c r="BE93" s="20" t="s">
        <v>401</v>
      </c>
      <c r="BF93" s="3" t="s">
        <v>372</v>
      </c>
      <c r="BG93" s="11" t="s">
        <v>10</v>
      </c>
      <c r="BH93" s="52"/>
      <c r="BI93" s="20" t="s">
        <v>401</v>
      </c>
      <c r="BJ93" s="3" t="s">
        <v>372</v>
      </c>
      <c r="BK93" s="11" t="s">
        <v>10</v>
      </c>
      <c r="BL93" s="52"/>
      <c r="BM93" s="20" t="s">
        <v>401</v>
      </c>
      <c r="BN93" s="3" t="s">
        <v>372</v>
      </c>
      <c r="BO93" s="11" t="s">
        <v>10</v>
      </c>
      <c r="BP93" s="52"/>
      <c r="BQ93" s="20" t="s">
        <v>401</v>
      </c>
      <c r="BR93" s="3" t="s">
        <v>372</v>
      </c>
      <c r="BS93" s="11" t="s">
        <v>10</v>
      </c>
      <c r="BT93" s="154"/>
      <c r="BU93" s="20" t="s">
        <v>401</v>
      </c>
      <c r="BV93" s="3" t="s">
        <v>372</v>
      </c>
      <c r="BW93" s="66" t="s">
        <v>10</v>
      </c>
      <c r="BX93" s="67">
        <v>2</v>
      </c>
      <c r="BY93" s="391"/>
      <c r="BZ93" s="20" t="s">
        <v>401</v>
      </c>
      <c r="CA93" s="3" t="s">
        <v>372</v>
      </c>
      <c r="CB93" s="66" t="s">
        <v>10</v>
      </c>
      <c r="CC93" s="67"/>
    </row>
    <row r="94" spans="1:81" ht="12.75">
      <c r="A94" s="20" t="s">
        <v>402</v>
      </c>
      <c r="B94" s="3" t="s">
        <v>50</v>
      </c>
      <c r="C94" s="11" t="s">
        <v>25</v>
      </c>
      <c r="D94" s="52">
        <f t="shared" si="3"/>
        <v>0</v>
      </c>
      <c r="E94" s="68" t="e">
        <f>#REF!+#REF!+#REF!+#REF!+#REF!+#REF!+#REF!+#REF!+#REF!+#REF!+#REF!+#REF!+#REF!+#REF!+#REF!+#REF!+#REF!+#REF!</f>
        <v>#REF!</v>
      </c>
      <c r="F94" s="77" t="e">
        <f>#REF!+#REF!+#REF!+#REF!+#REF!+#REF!+#REF!+#REF!+#REF!+#REF!+#REF!+#REF!+#REF!+#REF!+#REF!+#REF!+#REF!+#REF!</f>
        <v>#REF!</v>
      </c>
      <c r="G94" s="346" t="s">
        <v>313</v>
      </c>
      <c r="I94" s="20" t="s">
        <v>402</v>
      </c>
      <c r="J94" s="3" t="s">
        <v>50</v>
      </c>
      <c r="K94" s="11" t="s">
        <v>25</v>
      </c>
      <c r="L94" s="51"/>
      <c r="M94" s="20" t="s">
        <v>402</v>
      </c>
      <c r="N94" s="3" t="s">
        <v>50</v>
      </c>
      <c r="O94" s="11" t="s">
        <v>25</v>
      </c>
      <c r="P94" s="51"/>
      <c r="Q94" s="20" t="s">
        <v>402</v>
      </c>
      <c r="R94" s="3" t="s">
        <v>50</v>
      </c>
      <c r="S94" s="11" t="s">
        <v>25</v>
      </c>
      <c r="T94" s="51"/>
      <c r="U94" s="20" t="s">
        <v>402</v>
      </c>
      <c r="V94" s="3" t="s">
        <v>50</v>
      </c>
      <c r="W94" s="11" t="s">
        <v>25</v>
      </c>
      <c r="X94" s="51"/>
      <c r="Y94" s="20" t="s">
        <v>402</v>
      </c>
      <c r="Z94" s="3" t="s">
        <v>50</v>
      </c>
      <c r="AA94" s="11" t="s">
        <v>25</v>
      </c>
      <c r="AB94" s="51"/>
      <c r="AC94" s="20" t="s">
        <v>402</v>
      </c>
      <c r="AD94" s="3" t="s">
        <v>50</v>
      </c>
      <c r="AE94" s="11" t="s">
        <v>25</v>
      </c>
      <c r="AF94" s="51"/>
      <c r="AG94" s="20" t="s">
        <v>402</v>
      </c>
      <c r="AH94" s="3" t="s">
        <v>50</v>
      </c>
      <c r="AI94" s="11" t="s">
        <v>25</v>
      </c>
      <c r="AJ94" s="51"/>
      <c r="AK94" s="20" t="s">
        <v>402</v>
      </c>
      <c r="AL94" s="3" t="s">
        <v>50</v>
      </c>
      <c r="AM94" s="11" t="s">
        <v>25</v>
      </c>
      <c r="AN94" s="51"/>
      <c r="AO94" s="20" t="s">
        <v>402</v>
      </c>
      <c r="AP94" s="3" t="s">
        <v>50</v>
      </c>
      <c r="AQ94" s="11" t="s">
        <v>25</v>
      </c>
      <c r="AR94" s="51"/>
      <c r="AS94" s="20" t="s">
        <v>402</v>
      </c>
      <c r="AT94" s="3" t="s">
        <v>50</v>
      </c>
      <c r="AU94" s="11" t="s">
        <v>25</v>
      </c>
      <c r="AV94" s="51"/>
      <c r="AW94" s="20" t="s">
        <v>402</v>
      </c>
      <c r="AX94" s="3" t="s">
        <v>50</v>
      </c>
      <c r="AY94" s="11" t="s">
        <v>25</v>
      </c>
      <c r="AZ94" s="51"/>
      <c r="BA94" s="20" t="s">
        <v>402</v>
      </c>
      <c r="BB94" s="3" t="s">
        <v>50</v>
      </c>
      <c r="BC94" s="11" t="s">
        <v>25</v>
      </c>
      <c r="BD94" s="51"/>
      <c r="BE94" s="20" t="s">
        <v>402</v>
      </c>
      <c r="BF94" s="3" t="s">
        <v>50</v>
      </c>
      <c r="BG94" s="11" t="s">
        <v>25</v>
      </c>
      <c r="BH94" s="51"/>
      <c r="BI94" s="20" t="s">
        <v>402</v>
      </c>
      <c r="BJ94" s="3" t="s">
        <v>50</v>
      </c>
      <c r="BK94" s="11" t="s">
        <v>25</v>
      </c>
      <c r="BL94" s="51"/>
      <c r="BM94" s="20" t="s">
        <v>402</v>
      </c>
      <c r="BN94" s="3" t="s">
        <v>50</v>
      </c>
      <c r="BO94" s="11" t="s">
        <v>25</v>
      </c>
      <c r="BP94" s="51"/>
      <c r="BQ94" s="20" t="s">
        <v>402</v>
      </c>
      <c r="BR94" s="3" t="s">
        <v>50</v>
      </c>
      <c r="BS94" s="11" t="s">
        <v>25</v>
      </c>
      <c r="BT94" s="151"/>
      <c r="BU94" s="20" t="s">
        <v>402</v>
      </c>
      <c r="BV94" s="3" t="s">
        <v>50</v>
      </c>
      <c r="BW94" s="11" t="s">
        <v>25</v>
      </c>
      <c r="BX94" s="51"/>
      <c r="BY94" s="318"/>
      <c r="BZ94" s="20" t="s">
        <v>402</v>
      </c>
      <c r="CA94" s="3" t="s">
        <v>50</v>
      </c>
      <c r="CB94" s="11" t="s">
        <v>25</v>
      </c>
      <c r="CC94" s="51"/>
    </row>
    <row r="95" spans="1:81" ht="12.75">
      <c r="A95" s="20" t="s">
        <v>403</v>
      </c>
      <c r="B95" s="3" t="s">
        <v>51</v>
      </c>
      <c r="C95" s="11" t="s">
        <v>10</v>
      </c>
      <c r="D95" s="52">
        <f t="shared" si="3"/>
        <v>0</v>
      </c>
      <c r="E95" s="68" t="e">
        <f>#REF!+#REF!+#REF!+#REF!+#REF!+#REF!+#REF!+#REF!+#REF!+#REF!+#REF!+#REF!+#REF!+#REF!+#REF!+#REF!+#REF!+#REF!</f>
        <v>#REF!</v>
      </c>
      <c r="F95" s="77" t="e">
        <f>#REF!+#REF!+#REF!+#REF!+#REF!+#REF!+#REF!+#REF!+#REF!+#REF!+#REF!+#REF!+#REF!+#REF!+#REF!+#REF!+#REF!+#REF!</f>
        <v>#REF!</v>
      </c>
      <c r="G95" s="346"/>
      <c r="I95" s="20" t="s">
        <v>403</v>
      </c>
      <c r="J95" s="3" t="s">
        <v>51</v>
      </c>
      <c r="K95" s="11" t="s">
        <v>10</v>
      </c>
      <c r="L95" s="52"/>
      <c r="M95" s="20" t="s">
        <v>403</v>
      </c>
      <c r="N95" s="3" t="s">
        <v>51</v>
      </c>
      <c r="O95" s="11" t="s">
        <v>10</v>
      </c>
      <c r="P95" s="52"/>
      <c r="Q95" s="20" t="s">
        <v>403</v>
      </c>
      <c r="R95" s="3" t="s">
        <v>51</v>
      </c>
      <c r="S95" s="11" t="s">
        <v>10</v>
      </c>
      <c r="T95" s="52"/>
      <c r="U95" s="20" t="s">
        <v>403</v>
      </c>
      <c r="V95" s="3" t="s">
        <v>51</v>
      </c>
      <c r="W95" s="11" t="s">
        <v>10</v>
      </c>
      <c r="X95" s="52"/>
      <c r="Y95" s="20" t="s">
        <v>403</v>
      </c>
      <c r="Z95" s="3" t="s">
        <v>51</v>
      </c>
      <c r="AA95" s="11" t="s">
        <v>10</v>
      </c>
      <c r="AB95" s="52"/>
      <c r="AC95" s="20" t="s">
        <v>403</v>
      </c>
      <c r="AD95" s="3" t="s">
        <v>51</v>
      </c>
      <c r="AE95" s="11" t="s">
        <v>10</v>
      </c>
      <c r="AF95" s="52"/>
      <c r="AG95" s="20" t="s">
        <v>403</v>
      </c>
      <c r="AH95" s="3" t="s">
        <v>51</v>
      </c>
      <c r="AI95" s="11" t="s">
        <v>10</v>
      </c>
      <c r="AJ95" s="52"/>
      <c r="AK95" s="20" t="s">
        <v>403</v>
      </c>
      <c r="AL95" s="3" t="s">
        <v>51</v>
      </c>
      <c r="AM95" s="11" t="s">
        <v>10</v>
      </c>
      <c r="AN95" s="52"/>
      <c r="AO95" s="20" t="s">
        <v>403</v>
      </c>
      <c r="AP95" s="3" t="s">
        <v>51</v>
      </c>
      <c r="AQ95" s="11" t="s">
        <v>10</v>
      </c>
      <c r="AR95" s="52"/>
      <c r="AS95" s="20" t="s">
        <v>403</v>
      </c>
      <c r="AT95" s="3" t="s">
        <v>51</v>
      </c>
      <c r="AU95" s="11" t="s">
        <v>10</v>
      </c>
      <c r="AV95" s="52"/>
      <c r="AW95" s="20" t="s">
        <v>403</v>
      </c>
      <c r="AX95" s="3" t="s">
        <v>51</v>
      </c>
      <c r="AY95" s="11" t="s">
        <v>10</v>
      </c>
      <c r="AZ95" s="52"/>
      <c r="BA95" s="20" t="s">
        <v>403</v>
      </c>
      <c r="BB95" s="3" t="s">
        <v>51</v>
      </c>
      <c r="BC95" s="11" t="s">
        <v>10</v>
      </c>
      <c r="BD95" s="52"/>
      <c r="BE95" s="20" t="s">
        <v>403</v>
      </c>
      <c r="BF95" s="3" t="s">
        <v>51</v>
      </c>
      <c r="BG95" s="11" t="s">
        <v>10</v>
      </c>
      <c r="BH95" s="52"/>
      <c r="BI95" s="20" t="s">
        <v>403</v>
      </c>
      <c r="BJ95" s="3" t="s">
        <v>51</v>
      </c>
      <c r="BK95" s="11" t="s">
        <v>10</v>
      </c>
      <c r="BL95" s="52"/>
      <c r="BM95" s="20" t="s">
        <v>403</v>
      </c>
      <c r="BN95" s="3" t="s">
        <v>51</v>
      </c>
      <c r="BO95" s="11" t="s">
        <v>10</v>
      </c>
      <c r="BP95" s="52"/>
      <c r="BQ95" s="20" t="s">
        <v>403</v>
      </c>
      <c r="BR95" s="3" t="s">
        <v>51</v>
      </c>
      <c r="BS95" s="11" t="s">
        <v>10</v>
      </c>
      <c r="BT95" s="154"/>
      <c r="BU95" s="20" t="s">
        <v>403</v>
      </c>
      <c r="BV95" s="3" t="s">
        <v>51</v>
      </c>
      <c r="BW95" s="11" t="s">
        <v>10</v>
      </c>
      <c r="BX95" s="52"/>
      <c r="BY95" s="318"/>
      <c r="BZ95" s="20" t="s">
        <v>403</v>
      </c>
      <c r="CA95" s="3" t="s">
        <v>51</v>
      </c>
      <c r="CB95" s="11" t="s">
        <v>10</v>
      </c>
      <c r="CC95" s="52"/>
    </row>
    <row r="96" spans="1:81" ht="12.75">
      <c r="A96" s="20" t="s">
        <v>404</v>
      </c>
      <c r="B96" s="3" t="s">
        <v>53</v>
      </c>
      <c r="C96" s="11" t="s">
        <v>70</v>
      </c>
      <c r="D96" s="52">
        <f t="shared" si="3"/>
        <v>62</v>
      </c>
      <c r="E96" s="68" t="e">
        <f>#REF!+#REF!+#REF!+#REF!+#REF!+#REF!+#REF!+#REF!+#REF!+#REF!+#REF!+#REF!+#REF!+#REF!+#REF!+#REF!+#REF!+#REF!</f>
        <v>#REF!</v>
      </c>
      <c r="F96" s="77" t="e">
        <f>#REF!+#REF!+#REF!+#REF!+#REF!+#REF!+#REF!+#REF!+#REF!+#REF!+#REF!+#REF!+#REF!+#REF!+#REF!+#REF!+#REF!+#REF!</f>
        <v>#REF!</v>
      </c>
      <c r="G96" s="346" t="e">
        <f>E96/D96*100</f>
        <v>#REF!</v>
      </c>
      <c r="I96" s="20" t="s">
        <v>404</v>
      </c>
      <c r="J96" s="3" t="s">
        <v>53</v>
      </c>
      <c r="K96" s="11" t="s">
        <v>70</v>
      </c>
      <c r="L96" s="51"/>
      <c r="M96" s="20" t="s">
        <v>404</v>
      </c>
      <c r="N96" s="3" t="s">
        <v>53</v>
      </c>
      <c r="O96" s="11" t="s">
        <v>70</v>
      </c>
      <c r="P96" s="52">
        <v>10</v>
      </c>
      <c r="Q96" s="20" t="s">
        <v>404</v>
      </c>
      <c r="R96" s="3" t="s">
        <v>53</v>
      </c>
      <c r="S96" s="11" t="s">
        <v>70</v>
      </c>
      <c r="T96" s="52">
        <v>3</v>
      </c>
      <c r="U96" s="20" t="s">
        <v>404</v>
      </c>
      <c r="V96" s="3" t="s">
        <v>53</v>
      </c>
      <c r="W96" s="11" t="s">
        <v>70</v>
      </c>
      <c r="X96" s="52">
        <v>3</v>
      </c>
      <c r="Y96" s="20" t="s">
        <v>404</v>
      </c>
      <c r="Z96" s="3" t="s">
        <v>53</v>
      </c>
      <c r="AA96" s="11" t="s">
        <v>70</v>
      </c>
      <c r="AB96" s="52">
        <v>3</v>
      </c>
      <c r="AC96" s="20" t="s">
        <v>404</v>
      </c>
      <c r="AD96" s="3" t="s">
        <v>53</v>
      </c>
      <c r="AE96" s="11" t="s">
        <v>70</v>
      </c>
      <c r="AF96" s="52">
        <v>3</v>
      </c>
      <c r="AG96" s="20" t="s">
        <v>404</v>
      </c>
      <c r="AH96" s="3" t="s">
        <v>53</v>
      </c>
      <c r="AI96" s="11" t="s">
        <v>70</v>
      </c>
      <c r="AJ96" s="52">
        <v>3</v>
      </c>
      <c r="AK96" s="20" t="s">
        <v>404</v>
      </c>
      <c r="AL96" s="3" t="s">
        <v>53</v>
      </c>
      <c r="AM96" s="11" t="s">
        <v>70</v>
      </c>
      <c r="AN96" s="52">
        <v>3</v>
      </c>
      <c r="AO96" s="20" t="s">
        <v>404</v>
      </c>
      <c r="AP96" s="3" t="s">
        <v>53</v>
      </c>
      <c r="AQ96" s="11" t="s">
        <v>70</v>
      </c>
      <c r="AR96" s="52">
        <v>6</v>
      </c>
      <c r="AS96" s="20" t="s">
        <v>404</v>
      </c>
      <c r="AT96" s="3" t="s">
        <v>53</v>
      </c>
      <c r="AU96" s="11" t="s">
        <v>70</v>
      </c>
      <c r="AV96" s="52">
        <v>3</v>
      </c>
      <c r="AW96" s="20" t="s">
        <v>404</v>
      </c>
      <c r="AX96" s="3" t="s">
        <v>53</v>
      </c>
      <c r="AY96" s="11" t="s">
        <v>70</v>
      </c>
      <c r="AZ96" s="52">
        <v>2</v>
      </c>
      <c r="BA96" s="20" t="s">
        <v>404</v>
      </c>
      <c r="BB96" s="3" t="s">
        <v>53</v>
      </c>
      <c r="BC96" s="11" t="s">
        <v>70</v>
      </c>
      <c r="BD96" s="52">
        <v>3</v>
      </c>
      <c r="BE96" s="20" t="s">
        <v>404</v>
      </c>
      <c r="BF96" s="3" t="s">
        <v>53</v>
      </c>
      <c r="BG96" s="11" t="s">
        <v>70</v>
      </c>
      <c r="BH96" s="52">
        <v>10</v>
      </c>
      <c r="BI96" s="20" t="s">
        <v>404</v>
      </c>
      <c r="BJ96" s="3" t="s">
        <v>53</v>
      </c>
      <c r="BK96" s="11" t="s">
        <v>70</v>
      </c>
      <c r="BL96" s="52">
        <v>3</v>
      </c>
      <c r="BM96" s="20" t="s">
        <v>404</v>
      </c>
      <c r="BN96" s="3" t="s">
        <v>53</v>
      </c>
      <c r="BO96" s="11" t="s">
        <v>70</v>
      </c>
      <c r="BP96" s="59"/>
      <c r="BQ96" s="20" t="s">
        <v>404</v>
      </c>
      <c r="BR96" s="3" t="s">
        <v>53</v>
      </c>
      <c r="BS96" s="11" t="s">
        <v>70</v>
      </c>
      <c r="BT96" s="154">
        <v>3</v>
      </c>
      <c r="BU96" s="20" t="s">
        <v>404</v>
      </c>
      <c r="BV96" s="3" t="s">
        <v>53</v>
      </c>
      <c r="BW96" s="11" t="s">
        <v>70</v>
      </c>
      <c r="BX96" s="52">
        <v>2</v>
      </c>
      <c r="BY96" s="392" t="e">
        <f>#REF!/BX96*100</f>
        <v>#REF!</v>
      </c>
      <c r="BZ96" s="20" t="s">
        <v>404</v>
      </c>
      <c r="CA96" s="3" t="s">
        <v>53</v>
      </c>
      <c r="CB96" s="11" t="s">
        <v>70</v>
      </c>
      <c r="CC96" s="52">
        <v>2</v>
      </c>
    </row>
    <row r="97" spans="1:81" ht="12.75">
      <c r="A97" s="20" t="s">
        <v>405</v>
      </c>
      <c r="B97" s="3" t="s">
        <v>54</v>
      </c>
      <c r="C97" s="11" t="s">
        <v>20</v>
      </c>
      <c r="D97" s="52">
        <f t="shared" si="3"/>
        <v>154</v>
      </c>
      <c r="E97" s="68" t="e">
        <f>#REF!+#REF!+#REF!+#REF!+#REF!+#REF!+#REF!+#REF!+#REF!+#REF!+#REF!+#REF!+#REF!+#REF!+#REF!+#REF!+#REF!+#REF!</f>
        <v>#REF!</v>
      </c>
      <c r="F97" s="77" t="e">
        <f>#REF!+#REF!+#REF!+#REF!+#REF!+#REF!+#REF!+#REF!+#REF!+#REF!+#REF!+#REF!+#REF!+#REF!+#REF!+#REF!+#REF!+#REF!</f>
        <v>#REF!</v>
      </c>
      <c r="G97" s="393" t="e">
        <f>E97/D97*100</f>
        <v>#REF!</v>
      </c>
      <c r="I97" s="20" t="s">
        <v>405</v>
      </c>
      <c r="J97" s="3" t="s">
        <v>54</v>
      </c>
      <c r="K97" s="11" t="s">
        <v>20</v>
      </c>
      <c r="L97" s="52">
        <v>4</v>
      </c>
      <c r="M97" s="20" t="s">
        <v>405</v>
      </c>
      <c r="N97" s="3" t="s">
        <v>54</v>
      </c>
      <c r="O97" s="11" t="s">
        <v>20</v>
      </c>
      <c r="P97" s="52">
        <v>10</v>
      </c>
      <c r="Q97" s="20" t="s">
        <v>405</v>
      </c>
      <c r="R97" s="3" t="s">
        <v>54</v>
      </c>
      <c r="S97" s="11" t="s">
        <v>20</v>
      </c>
      <c r="T97" s="52">
        <v>6</v>
      </c>
      <c r="U97" s="20" t="s">
        <v>405</v>
      </c>
      <c r="V97" s="3" t="s">
        <v>54</v>
      </c>
      <c r="W97" s="11" t="s">
        <v>20</v>
      </c>
      <c r="X97" s="52">
        <v>13</v>
      </c>
      <c r="Y97" s="20" t="s">
        <v>405</v>
      </c>
      <c r="Z97" s="3" t="s">
        <v>54</v>
      </c>
      <c r="AA97" s="11" t="s">
        <v>20</v>
      </c>
      <c r="AB97" s="52">
        <v>6</v>
      </c>
      <c r="AC97" s="20" t="s">
        <v>405</v>
      </c>
      <c r="AD97" s="3" t="s">
        <v>54</v>
      </c>
      <c r="AE97" s="11" t="s">
        <v>20</v>
      </c>
      <c r="AF97" s="52">
        <v>3</v>
      </c>
      <c r="AG97" s="20" t="s">
        <v>405</v>
      </c>
      <c r="AH97" s="3" t="s">
        <v>54</v>
      </c>
      <c r="AI97" s="11" t="s">
        <v>20</v>
      </c>
      <c r="AJ97" s="52">
        <v>6</v>
      </c>
      <c r="AK97" s="20" t="s">
        <v>405</v>
      </c>
      <c r="AL97" s="3" t="s">
        <v>54</v>
      </c>
      <c r="AM97" s="11" t="s">
        <v>20</v>
      </c>
      <c r="AN97" s="52">
        <v>7</v>
      </c>
      <c r="AO97" s="20" t="s">
        <v>405</v>
      </c>
      <c r="AP97" s="3" t="s">
        <v>54</v>
      </c>
      <c r="AQ97" s="11" t="s">
        <v>20</v>
      </c>
      <c r="AR97" s="52">
        <v>25</v>
      </c>
      <c r="AS97" s="20" t="s">
        <v>405</v>
      </c>
      <c r="AT97" s="3" t="s">
        <v>54</v>
      </c>
      <c r="AU97" s="11" t="s">
        <v>20</v>
      </c>
      <c r="AV97" s="52">
        <v>7</v>
      </c>
      <c r="AW97" s="20" t="s">
        <v>405</v>
      </c>
      <c r="AX97" s="3" t="s">
        <v>54</v>
      </c>
      <c r="AY97" s="11" t="s">
        <v>20</v>
      </c>
      <c r="AZ97" s="52">
        <v>8</v>
      </c>
      <c r="BA97" s="20" t="s">
        <v>405</v>
      </c>
      <c r="BB97" s="3" t="s">
        <v>54</v>
      </c>
      <c r="BC97" s="11" t="s">
        <v>20</v>
      </c>
      <c r="BD97" s="52">
        <v>13</v>
      </c>
      <c r="BE97" s="20" t="s">
        <v>405</v>
      </c>
      <c r="BF97" s="3" t="s">
        <v>54</v>
      </c>
      <c r="BG97" s="11" t="s">
        <v>20</v>
      </c>
      <c r="BH97" s="52">
        <v>7</v>
      </c>
      <c r="BI97" s="20" t="s">
        <v>405</v>
      </c>
      <c r="BJ97" s="3" t="s">
        <v>54</v>
      </c>
      <c r="BK97" s="11" t="s">
        <v>20</v>
      </c>
      <c r="BL97" s="52">
        <v>10</v>
      </c>
      <c r="BM97" s="20" t="s">
        <v>405</v>
      </c>
      <c r="BN97" s="3" t="s">
        <v>54</v>
      </c>
      <c r="BO97" s="11" t="s">
        <v>20</v>
      </c>
      <c r="BP97" s="52">
        <v>6</v>
      </c>
      <c r="BQ97" s="20" t="s">
        <v>405</v>
      </c>
      <c r="BR97" s="3" t="s">
        <v>54</v>
      </c>
      <c r="BS97" s="11" t="s">
        <v>20</v>
      </c>
      <c r="BT97" s="154">
        <v>13</v>
      </c>
      <c r="BU97" s="20" t="s">
        <v>405</v>
      </c>
      <c r="BV97" s="3" t="s">
        <v>54</v>
      </c>
      <c r="BW97" s="11" t="s">
        <v>20</v>
      </c>
      <c r="BX97" s="52">
        <v>6</v>
      </c>
      <c r="BY97" s="318" t="e">
        <f>#REF!/BX97*100</f>
        <v>#REF!</v>
      </c>
      <c r="BZ97" s="20" t="s">
        <v>405</v>
      </c>
      <c r="CA97" s="3" t="s">
        <v>54</v>
      </c>
      <c r="CB97" s="11" t="s">
        <v>20</v>
      </c>
      <c r="CC97" s="52">
        <v>4</v>
      </c>
    </row>
    <row r="98" spans="1:81" ht="15" customHeight="1">
      <c r="A98" s="20" t="s">
        <v>406</v>
      </c>
      <c r="B98" s="3" t="s">
        <v>56</v>
      </c>
      <c r="C98" s="11" t="s">
        <v>20</v>
      </c>
      <c r="D98" s="52">
        <f t="shared" si="3"/>
        <v>22</v>
      </c>
      <c r="E98" s="68" t="e">
        <f>#REF!+#REF!+#REF!+#REF!+#REF!+#REF!+#REF!+#REF!+#REF!+#REF!+#REF!+#REF!+#REF!+#REF!+#REF!+#REF!+#REF!+#REF!</f>
        <v>#REF!</v>
      </c>
      <c r="F98" s="77" t="e">
        <f>#REF!+#REF!+#REF!+#REF!+#REF!+#REF!+#REF!+#REF!+#REF!+#REF!+#REF!+#REF!+#REF!+#REF!+#REF!+#REF!+#REF!+#REF!</f>
        <v>#REF!</v>
      </c>
      <c r="G98" s="393"/>
      <c r="I98" s="20" t="s">
        <v>406</v>
      </c>
      <c r="J98" s="3" t="s">
        <v>56</v>
      </c>
      <c r="K98" s="11" t="s">
        <v>20</v>
      </c>
      <c r="L98" s="52"/>
      <c r="M98" s="20" t="s">
        <v>406</v>
      </c>
      <c r="N98" s="3" t="s">
        <v>56</v>
      </c>
      <c r="O98" s="11" t="s">
        <v>20</v>
      </c>
      <c r="P98" s="52"/>
      <c r="Q98" s="20" t="s">
        <v>406</v>
      </c>
      <c r="R98" s="3" t="s">
        <v>56</v>
      </c>
      <c r="S98" s="11" t="s">
        <v>20</v>
      </c>
      <c r="T98" s="52">
        <v>3</v>
      </c>
      <c r="U98" s="20" t="s">
        <v>406</v>
      </c>
      <c r="V98" s="3" t="s">
        <v>56</v>
      </c>
      <c r="W98" s="11" t="s">
        <v>20</v>
      </c>
      <c r="X98" s="52">
        <v>3</v>
      </c>
      <c r="Y98" s="20" t="s">
        <v>406</v>
      </c>
      <c r="Z98" s="3" t="s">
        <v>56</v>
      </c>
      <c r="AA98" s="11" t="s">
        <v>20</v>
      </c>
      <c r="AB98" s="52"/>
      <c r="AC98" s="20" t="s">
        <v>406</v>
      </c>
      <c r="AD98" s="3" t="s">
        <v>56</v>
      </c>
      <c r="AE98" s="11" t="s">
        <v>20</v>
      </c>
      <c r="AF98" s="52"/>
      <c r="AG98" s="20" t="s">
        <v>406</v>
      </c>
      <c r="AH98" s="3" t="s">
        <v>56</v>
      </c>
      <c r="AI98" s="11" t="s">
        <v>20</v>
      </c>
      <c r="AJ98" s="52">
        <v>2</v>
      </c>
      <c r="AK98" s="20" t="s">
        <v>406</v>
      </c>
      <c r="AL98" s="3" t="s">
        <v>56</v>
      </c>
      <c r="AM98" s="11" t="s">
        <v>20</v>
      </c>
      <c r="AN98" s="52"/>
      <c r="AO98" s="20" t="s">
        <v>406</v>
      </c>
      <c r="AP98" s="3" t="s">
        <v>56</v>
      </c>
      <c r="AQ98" s="11" t="s">
        <v>20</v>
      </c>
      <c r="AR98" s="52"/>
      <c r="AS98" s="20" t="s">
        <v>406</v>
      </c>
      <c r="AT98" s="3" t="s">
        <v>56</v>
      </c>
      <c r="AU98" s="11" t="s">
        <v>20</v>
      </c>
      <c r="AV98" s="52">
        <v>2</v>
      </c>
      <c r="AW98" s="20" t="s">
        <v>406</v>
      </c>
      <c r="AX98" s="3" t="s">
        <v>56</v>
      </c>
      <c r="AY98" s="11" t="s">
        <v>20</v>
      </c>
      <c r="AZ98" s="52">
        <v>10</v>
      </c>
      <c r="BA98" s="20" t="s">
        <v>406</v>
      </c>
      <c r="BB98" s="3" t="s">
        <v>56</v>
      </c>
      <c r="BC98" s="11" t="s">
        <v>20</v>
      </c>
      <c r="BD98" s="52">
        <v>2</v>
      </c>
      <c r="BE98" s="20" t="s">
        <v>406</v>
      </c>
      <c r="BF98" s="3" t="s">
        <v>56</v>
      </c>
      <c r="BG98" s="11" t="s">
        <v>20</v>
      </c>
      <c r="BH98" s="76"/>
      <c r="BI98" s="20" t="s">
        <v>406</v>
      </c>
      <c r="BJ98" s="3" t="s">
        <v>56</v>
      </c>
      <c r="BK98" s="11" t="s">
        <v>20</v>
      </c>
      <c r="BL98" s="52"/>
      <c r="BM98" s="20" t="s">
        <v>406</v>
      </c>
      <c r="BN98" s="3" t="s">
        <v>56</v>
      </c>
      <c r="BO98" s="11" t="s">
        <v>20</v>
      </c>
      <c r="BP98" s="52"/>
      <c r="BQ98" s="20" t="s">
        <v>406</v>
      </c>
      <c r="BR98" s="3" t="s">
        <v>56</v>
      </c>
      <c r="BS98" s="11" t="s">
        <v>20</v>
      </c>
      <c r="BT98" s="154"/>
      <c r="BU98" s="20" t="s">
        <v>406</v>
      </c>
      <c r="BV98" s="3" t="s">
        <v>56</v>
      </c>
      <c r="BW98" s="11" t="s">
        <v>20</v>
      </c>
      <c r="BX98" s="52"/>
      <c r="BY98" s="318"/>
      <c r="BZ98" s="20" t="s">
        <v>406</v>
      </c>
      <c r="CA98" s="3" t="s">
        <v>56</v>
      </c>
      <c r="CB98" s="11" t="s">
        <v>20</v>
      </c>
      <c r="CC98" s="52"/>
    </row>
    <row r="99" spans="1:81" ht="15" customHeight="1">
      <c r="A99" s="20" t="s">
        <v>407</v>
      </c>
      <c r="B99" s="370" t="s">
        <v>373</v>
      </c>
      <c r="C99" s="11" t="s">
        <v>25</v>
      </c>
      <c r="D99" s="52">
        <f t="shared" si="3"/>
        <v>0</v>
      </c>
      <c r="E99" s="68" t="e">
        <f>#REF!+#REF!+#REF!+#REF!+#REF!+#REF!+#REF!+#REF!+#REF!+#REF!+#REF!+#REF!+#REF!+#REF!+#REF!+#REF!+#REF!+#REF!</f>
        <v>#REF!</v>
      </c>
      <c r="F99" s="77" t="e">
        <f>#REF!+#REF!+#REF!+#REF!+#REF!+#REF!+#REF!+#REF!+#REF!+#REF!+#REF!+#REF!+#REF!+#REF!+#REF!+#REF!+#REF!+#REF!</f>
        <v>#REF!</v>
      </c>
      <c r="G99" s="393"/>
      <c r="I99" s="20" t="s">
        <v>407</v>
      </c>
      <c r="J99" s="370" t="s">
        <v>373</v>
      </c>
      <c r="K99" s="11" t="s">
        <v>13</v>
      </c>
      <c r="L99" s="59"/>
      <c r="M99" s="20" t="s">
        <v>407</v>
      </c>
      <c r="N99" s="370" t="s">
        <v>373</v>
      </c>
      <c r="O99" s="11" t="s">
        <v>13</v>
      </c>
      <c r="P99" s="59"/>
      <c r="Q99" s="20" t="s">
        <v>407</v>
      </c>
      <c r="R99" s="370" t="s">
        <v>373</v>
      </c>
      <c r="S99" s="11" t="s">
        <v>13</v>
      </c>
      <c r="T99" s="59"/>
      <c r="U99" s="20" t="s">
        <v>407</v>
      </c>
      <c r="V99" s="370" t="s">
        <v>373</v>
      </c>
      <c r="W99" s="11" t="s">
        <v>13</v>
      </c>
      <c r="X99" s="59"/>
      <c r="Y99" s="20" t="s">
        <v>407</v>
      </c>
      <c r="Z99" s="370" t="s">
        <v>373</v>
      </c>
      <c r="AA99" s="11" t="s">
        <v>13</v>
      </c>
      <c r="AB99" s="59"/>
      <c r="AC99" s="20" t="s">
        <v>407</v>
      </c>
      <c r="AD99" s="370" t="s">
        <v>373</v>
      </c>
      <c r="AE99" s="11" t="s">
        <v>13</v>
      </c>
      <c r="AF99" s="59"/>
      <c r="AG99" s="20" t="s">
        <v>407</v>
      </c>
      <c r="AH99" s="370" t="s">
        <v>373</v>
      </c>
      <c r="AI99" s="11" t="s">
        <v>13</v>
      </c>
      <c r="AJ99" s="59"/>
      <c r="AK99" s="20" t="s">
        <v>407</v>
      </c>
      <c r="AL99" s="370" t="s">
        <v>373</v>
      </c>
      <c r="AM99" s="11" t="s">
        <v>13</v>
      </c>
      <c r="AN99" s="59"/>
      <c r="AO99" s="20" t="s">
        <v>407</v>
      </c>
      <c r="AP99" s="370" t="s">
        <v>373</v>
      </c>
      <c r="AQ99" s="11" t="s">
        <v>13</v>
      </c>
      <c r="AR99" s="59"/>
      <c r="AS99" s="20" t="s">
        <v>407</v>
      </c>
      <c r="AT99" s="370" t="s">
        <v>373</v>
      </c>
      <c r="AU99" s="11" t="s">
        <v>13</v>
      </c>
      <c r="AV99" s="59"/>
      <c r="AW99" s="20" t="s">
        <v>407</v>
      </c>
      <c r="AX99" s="370" t="s">
        <v>373</v>
      </c>
      <c r="AY99" s="11" t="s">
        <v>13</v>
      </c>
      <c r="AZ99" s="59"/>
      <c r="BA99" s="20" t="s">
        <v>407</v>
      </c>
      <c r="BB99" s="370" t="s">
        <v>373</v>
      </c>
      <c r="BC99" s="11" t="s">
        <v>13</v>
      </c>
      <c r="BD99" s="59"/>
      <c r="BE99" s="20" t="s">
        <v>407</v>
      </c>
      <c r="BF99" s="370" t="s">
        <v>373</v>
      </c>
      <c r="BG99" s="11" t="s">
        <v>13</v>
      </c>
      <c r="BH99" s="59"/>
      <c r="BI99" s="20" t="s">
        <v>407</v>
      </c>
      <c r="BJ99" s="370" t="s">
        <v>373</v>
      </c>
      <c r="BK99" s="11" t="s">
        <v>13</v>
      </c>
      <c r="BL99" s="59"/>
      <c r="BM99" s="20" t="s">
        <v>407</v>
      </c>
      <c r="BN99" s="370" t="s">
        <v>373</v>
      </c>
      <c r="BO99" s="11" t="s">
        <v>13</v>
      </c>
      <c r="BP99" s="59"/>
      <c r="BQ99" s="20" t="s">
        <v>407</v>
      </c>
      <c r="BR99" s="370" t="s">
        <v>373</v>
      </c>
      <c r="BS99" s="11" t="s">
        <v>13</v>
      </c>
      <c r="BT99" s="658"/>
      <c r="BU99" s="20" t="s">
        <v>407</v>
      </c>
      <c r="BV99" s="370" t="s">
        <v>373</v>
      </c>
      <c r="BW99" s="11" t="s">
        <v>13</v>
      </c>
      <c r="BX99" s="59"/>
      <c r="BY99" s="318"/>
      <c r="BZ99" s="20" t="s">
        <v>407</v>
      </c>
      <c r="CA99" s="370" t="s">
        <v>373</v>
      </c>
      <c r="CB99" s="11" t="s">
        <v>13</v>
      </c>
      <c r="CC99" s="59"/>
    </row>
    <row r="100" spans="1:81" ht="12.75">
      <c r="A100" s="20" t="s">
        <v>161</v>
      </c>
      <c r="B100" s="3" t="s">
        <v>374</v>
      </c>
      <c r="C100" s="11" t="s">
        <v>20</v>
      </c>
      <c r="D100" s="52">
        <f t="shared" si="3"/>
        <v>1</v>
      </c>
      <c r="E100" s="68" t="e">
        <f>#REF!+#REF!+#REF!+#REF!+#REF!+#REF!+#REF!+#REF!+#REF!+#REF!+#REF!+#REF!+#REF!+#REF!+#REF!+#REF!+#REF!+#REF!</f>
        <v>#REF!</v>
      </c>
      <c r="F100" s="77" t="e">
        <f>#REF!+#REF!+#REF!+#REF!+#REF!+#REF!+#REF!+#REF!+#REF!+#REF!+#REF!+#REF!+#REF!+#REF!+#REF!+#REF!+#REF!+#REF!</f>
        <v>#REF!</v>
      </c>
      <c r="G100" s="393" t="e">
        <f>E100/D100*100</f>
        <v>#REF!</v>
      </c>
      <c r="I100" s="20" t="s">
        <v>161</v>
      </c>
      <c r="J100" s="3" t="s">
        <v>374</v>
      </c>
      <c r="K100" s="11" t="s">
        <v>20</v>
      </c>
      <c r="L100" s="52"/>
      <c r="M100" s="20" t="s">
        <v>161</v>
      </c>
      <c r="N100" s="3" t="s">
        <v>374</v>
      </c>
      <c r="O100" s="11" t="s">
        <v>20</v>
      </c>
      <c r="P100" s="52"/>
      <c r="Q100" s="20" t="s">
        <v>161</v>
      </c>
      <c r="R100" s="3" t="s">
        <v>374</v>
      </c>
      <c r="S100" s="11" t="s">
        <v>20</v>
      </c>
      <c r="T100" s="52"/>
      <c r="U100" s="20" t="s">
        <v>161</v>
      </c>
      <c r="V100" s="3" t="s">
        <v>374</v>
      </c>
      <c r="W100" s="11" t="s">
        <v>20</v>
      </c>
      <c r="X100" s="52"/>
      <c r="Y100" s="20" t="s">
        <v>161</v>
      </c>
      <c r="Z100" s="3" t="s">
        <v>374</v>
      </c>
      <c r="AA100" s="11" t="s">
        <v>20</v>
      </c>
      <c r="AB100" s="52"/>
      <c r="AC100" s="20" t="s">
        <v>161</v>
      </c>
      <c r="AD100" s="3" t="s">
        <v>374</v>
      </c>
      <c r="AE100" s="11" t="s">
        <v>20</v>
      </c>
      <c r="AF100" s="52"/>
      <c r="AG100" s="20" t="s">
        <v>161</v>
      </c>
      <c r="AH100" s="3" t="s">
        <v>374</v>
      </c>
      <c r="AI100" s="11" t="s">
        <v>20</v>
      </c>
      <c r="AJ100" s="52"/>
      <c r="AK100" s="20" t="s">
        <v>161</v>
      </c>
      <c r="AL100" s="3" t="s">
        <v>374</v>
      </c>
      <c r="AM100" s="11" t="s">
        <v>20</v>
      </c>
      <c r="AN100" s="52"/>
      <c r="AO100" s="20" t="s">
        <v>161</v>
      </c>
      <c r="AP100" s="3" t="s">
        <v>374</v>
      </c>
      <c r="AQ100" s="11" t="s">
        <v>20</v>
      </c>
      <c r="AR100" s="52"/>
      <c r="AS100" s="20" t="s">
        <v>161</v>
      </c>
      <c r="AT100" s="3" t="s">
        <v>374</v>
      </c>
      <c r="AU100" s="11" t="s">
        <v>20</v>
      </c>
      <c r="AV100" s="52"/>
      <c r="AW100" s="20" t="s">
        <v>161</v>
      </c>
      <c r="AX100" s="3" t="s">
        <v>374</v>
      </c>
      <c r="AY100" s="11" t="s">
        <v>20</v>
      </c>
      <c r="AZ100" s="52"/>
      <c r="BA100" s="20" t="s">
        <v>161</v>
      </c>
      <c r="BB100" s="3" t="s">
        <v>374</v>
      </c>
      <c r="BC100" s="11" t="s">
        <v>20</v>
      </c>
      <c r="BD100" s="52">
        <v>1</v>
      </c>
      <c r="BE100" s="20" t="s">
        <v>161</v>
      </c>
      <c r="BF100" s="3" t="s">
        <v>374</v>
      </c>
      <c r="BG100" s="11" t="s">
        <v>20</v>
      </c>
      <c r="BH100" s="52"/>
      <c r="BI100" s="20" t="s">
        <v>161</v>
      </c>
      <c r="BJ100" s="3" t="s">
        <v>374</v>
      </c>
      <c r="BK100" s="11" t="s">
        <v>20</v>
      </c>
      <c r="BL100" s="52"/>
      <c r="BM100" s="20" t="s">
        <v>161</v>
      </c>
      <c r="BN100" s="3" t="s">
        <v>374</v>
      </c>
      <c r="BO100" s="11" t="s">
        <v>20</v>
      </c>
      <c r="BP100" s="52"/>
      <c r="BQ100" s="20" t="s">
        <v>161</v>
      </c>
      <c r="BR100" s="3" t="s">
        <v>374</v>
      </c>
      <c r="BS100" s="11" t="s">
        <v>20</v>
      </c>
      <c r="BT100" s="154"/>
      <c r="BU100" s="20" t="s">
        <v>161</v>
      </c>
      <c r="BV100" s="3" t="s">
        <v>374</v>
      </c>
      <c r="BW100" s="11" t="s">
        <v>20</v>
      </c>
      <c r="BX100" s="52"/>
      <c r="BY100" s="318"/>
      <c r="BZ100" s="20" t="s">
        <v>161</v>
      </c>
      <c r="CA100" s="3" t="s">
        <v>374</v>
      </c>
      <c r="CB100" s="11" t="s">
        <v>20</v>
      </c>
      <c r="CC100" s="52"/>
    </row>
    <row r="101" spans="1:81" ht="12.75">
      <c r="A101" s="20" t="s">
        <v>408</v>
      </c>
      <c r="B101" s="3" t="s">
        <v>258</v>
      </c>
      <c r="C101" s="11" t="s">
        <v>25</v>
      </c>
      <c r="D101" s="52">
        <f t="shared" si="3"/>
        <v>0</v>
      </c>
      <c r="E101" s="68" t="e">
        <f>#REF!+#REF!+#REF!+#REF!+#REF!+#REF!+#REF!+#REF!+#REF!+#REF!+#REF!+#REF!+#REF!+#REF!+#REF!+#REF!+#REF!+#REF!</f>
        <v>#REF!</v>
      </c>
      <c r="F101" s="77" t="e">
        <f>#REF!+#REF!+#REF!+#REF!+#REF!+#REF!+#REF!+#REF!+#REF!+#REF!+#REF!+#REF!+#REF!+#REF!+#REF!+#REF!+#REF!+#REF!</f>
        <v>#REF!</v>
      </c>
      <c r="G101" s="393"/>
      <c r="H101" s="27"/>
      <c r="I101" s="20" t="s">
        <v>408</v>
      </c>
      <c r="J101" s="3" t="s">
        <v>258</v>
      </c>
      <c r="K101" s="11" t="s">
        <v>25</v>
      </c>
      <c r="L101" s="52"/>
      <c r="M101" s="20" t="s">
        <v>408</v>
      </c>
      <c r="N101" s="3" t="s">
        <v>259</v>
      </c>
      <c r="O101" s="11" t="s">
        <v>25</v>
      </c>
      <c r="P101" s="52"/>
      <c r="Q101" s="20" t="s">
        <v>408</v>
      </c>
      <c r="R101" s="3" t="s">
        <v>259</v>
      </c>
      <c r="S101" s="11" t="s">
        <v>25</v>
      </c>
      <c r="T101" s="52"/>
      <c r="U101" s="20" t="s">
        <v>408</v>
      </c>
      <c r="V101" s="3" t="s">
        <v>259</v>
      </c>
      <c r="W101" s="11" t="s">
        <v>25</v>
      </c>
      <c r="X101" s="52"/>
      <c r="Y101" s="20" t="s">
        <v>408</v>
      </c>
      <c r="Z101" s="3" t="s">
        <v>259</v>
      </c>
      <c r="AA101" s="11" t="s">
        <v>25</v>
      </c>
      <c r="AB101" s="52"/>
      <c r="AC101" s="20" t="s">
        <v>408</v>
      </c>
      <c r="AD101" s="3" t="s">
        <v>259</v>
      </c>
      <c r="AE101" s="11" t="s">
        <v>25</v>
      </c>
      <c r="AF101" s="52"/>
      <c r="AG101" s="20" t="s">
        <v>408</v>
      </c>
      <c r="AH101" s="3" t="s">
        <v>259</v>
      </c>
      <c r="AI101" s="11" t="s">
        <v>25</v>
      </c>
      <c r="AJ101" s="52"/>
      <c r="AK101" s="20" t="s">
        <v>408</v>
      </c>
      <c r="AL101" s="3" t="s">
        <v>259</v>
      </c>
      <c r="AM101" s="11" t="s">
        <v>25</v>
      </c>
      <c r="AN101" s="52"/>
      <c r="AO101" s="20" t="s">
        <v>408</v>
      </c>
      <c r="AP101" s="3" t="s">
        <v>259</v>
      </c>
      <c r="AQ101" s="11" t="s">
        <v>25</v>
      </c>
      <c r="AR101" s="52"/>
      <c r="AS101" s="20" t="s">
        <v>408</v>
      </c>
      <c r="AT101" s="3" t="s">
        <v>259</v>
      </c>
      <c r="AU101" s="11" t="s">
        <v>25</v>
      </c>
      <c r="AV101" s="52"/>
      <c r="AW101" s="20" t="s">
        <v>408</v>
      </c>
      <c r="AX101" s="3" t="s">
        <v>259</v>
      </c>
      <c r="AY101" s="11" t="s">
        <v>25</v>
      </c>
      <c r="AZ101" s="52"/>
      <c r="BA101" s="20" t="s">
        <v>408</v>
      </c>
      <c r="BB101" s="3" t="s">
        <v>259</v>
      </c>
      <c r="BC101" s="11" t="s">
        <v>25</v>
      </c>
      <c r="BD101" s="52"/>
      <c r="BE101" s="20" t="s">
        <v>408</v>
      </c>
      <c r="BF101" s="3" t="s">
        <v>259</v>
      </c>
      <c r="BG101" s="11" t="s">
        <v>25</v>
      </c>
      <c r="BH101" s="52"/>
      <c r="BI101" s="20" t="s">
        <v>408</v>
      </c>
      <c r="BJ101" s="3" t="s">
        <v>259</v>
      </c>
      <c r="BK101" s="11" t="s">
        <v>25</v>
      </c>
      <c r="BL101" s="52"/>
      <c r="BM101" s="20" t="s">
        <v>408</v>
      </c>
      <c r="BN101" s="3" t="s">
        <v>259</v>
      </c>
      <c r="BO101" s="11" t="s">
        <v>25</v>
      </c>
      <c r="BP101" s="52"/>
      <c r="BQ101" s="20" t="s">
        <v>408</v>
      </c>
      <c r="BR101" s="3" t="s">
        <v>259</v>
      </c>
      <c r="BS101" s="11" t="s">
        <v>25</v>
      </c>
      <c r="BT101" s="154"/>
      <c r="BU101" s="20" t="s">
        <v>408</v>
      </c>
      <c r="BV101" s="3" t="s">
        <v>259</v>
      </c>
      <c r="BW101" s="11" t="s">
        <v>25</v>
      </c>
      <c r="BX101" s="52"/>
      <c r="BY101" s="318"/>
      <c r="BZ101" s="20" t="s">
        <v>408</v>
      </c>
      <c r="CA101" s="3" t="s">
        <v>259</v>
      </c>
      <c r="CB101" s="11" t="s">
        <v>25</v>
      </c>
      <c r="CC101" s="52"/>
    </row>
    <row r="102" spans="1:82" ht="15.75">
      <c r="A102" s="39"/>
      <c r="B102" s="41" t="s">
        <v>216</v>
      </c>
      <c r="C102" s="43"/>
      <c r="D102" s="40"/>
      <c r="E102" s="269"/>
      <c r="F102" s="106" t="e">
        <f>SUM(F89:F101)</f>
        <v>#REF!</v>
      </c>
      <c r="G102" s="263"/>
      <c r="H102" s="63">
        <f>D140*0.1</f>
        <v>715.1474069999999</v>
      </c>
      <c r="I102" s="39"/>
      <c r="J102" s="41" t="s">
        <v>216</v>
      </c>
      <c r="K102" s="43"/>
      <c r="L102" s="160"/>
      <c r="M102" s="39"/>
      <c r="N102" s="41" t="s">
        <v>216</v>
      </c>
      <c r="O102" s="43"/>
      <c r="P102" s="160"/>
      <c r="Q102" s="39"/>
      <c r="R102" s="41" t="s">
        <v>216</v>
      </c>
      <c r="S102" s="43"/>
      <c r="T102" s="40"/>
      <c r="U102" s="39"/>
      <c r="V102" s="41" t="s">
        <v>216</v>
      </c>
      <c r="W102" s="43"/>
      <c r="X102" s="40"/>
      <c r="Y102" s="39"/>
      <c r="Z102" s="41" t="s">
        <v>216</v>
      </c>
      <c r="AA102" s="43"/>
      <c r="AB102" s="40"/>
      <c r="AC102" s="39"/>
      <c r="AD102" s="41" t="s">
        <v>216</v>
      </c>
      <c r="AE102" s="43"/>
      <c r="AF102" s="40"/>
      <c r="AG102" s="39"/>
      <c r="AH102" s="41" t="s">
        <v>216</v>
      </c>
      <c r="AI102" s="43"/>
      <c r="AJ102" s="40"/>
      <c r="AK102" s="39"/>
      <c r="AL102" s="41" t="s">
        <v>216</v>
      </c>
      <c r="AM102" s="43"/>
      <c r="AN102" s="40"/>
      <c r="AO102" s="39"/>
      <c r="AP102" s="41" t="s">
        <v>216</v>
      </c>
      <c r="AQ102" s="43"/>
      <c r="AR102" s="40"/>
      <c r="AS102" s="39"/>
      <c r="AT102" s="41" t="s">
        <v>216</v>
      </c>
      <c r="AU102" s="43"/>
      <c r="AV102" s="40"/>
      <c r="AW102" s="39"/>
      <c r="AX102" s="41" t="s">
        <v>216</v>
      </c>
      <c r="AY102" s="43"/>
      <c r="AZ102" s="40"/>
      <c r="BA102" s="39"/>
      <c r="BB102" s="41" t="s">
        <v>216</v>
      </c>
      <c r="BC102" s="43"/>
      <c r="BD102" s="40"/>
      <c r="BE102" s="39"/>
      <c r="BF102" s="41" t="s">
        <v>216</v>
      </c>
      <c r="BG102" s="43"/>
      <c r="BH102" s="40"/>
      <c r="BI102" s="39"/>
      <c r="BJ102" s="41" t="s">
        <v>216</v>
      </c>
      <c r="BK102" s="43"/>
      <c r="BL102" s="40"/>
      <c r="BM102" s="39"/>
      <c r="BN102" s="41" t="s">
        <v>216</v>
      </c>
      <c r="BO102" s="43"/>
      <c r="BP102" s="40"/>
      <c r="BQ102" s="39"/>
      <c r="BR102" s="41" t="s">
        <v>216</v>
      </c>
      <c r="BS102" s="43"/>
      <c r="BT102" s="40"/>
      <c r="BU102" s="39"/>
      <c r="BV102" s="41" t="s">
        <v>216</v>
      </c>
      <c r="BW102" s="43"/>
      <c r="BX102" s="40"/>
      <c r="BY102" s="267"/>
      <c r="BZ102" s="39"/>
      <c r="CA102" s="41" t="s">
        <v>216</v>
      </c>
      <c r="CB102" s="43"/>
      <c r="CC102" s="40"/>
      <c r="CD102" s="394" t="e">
        <f>CC140*0.1-#REF!</f>
        <v>#REF!</v>
      </c>
    </row>
    <row r="103" spans="1:81" s="235" customFormat="1" ht="18.75">
      <c r="A103" s="397" t="s">
        <v>409</v>
      </c>
      <c r="B103" s="372" t="s">
        <v>29</v>
      </c>
      <c r="C103" s="398"/>
      <c r="D103" s="231"/>
      <c r="E103" s="227"/>
      <c r="F103" s="227"/>
      <c r="G103" s="442"/>
      <c r="H103" s="533"/>
      <c r="I103" s="397" t="s">
        <v>409</v>
      </c>
      <c r="J103" s="372" t="s">
        <v>29</v>
      </c>
      <c r="K103" s="398"/>
      <c r="L103" s="402"/>
      <c r="M103" s="397" t="s">
        <v>409</v>
      </c>
      <c r="N103" s="372" t="s">
        <v>29</v>
      </c>
      <c r="O103" s="398"/>
      <c r="P103" s="402"/>
      <c r="Q103" s="397" t="s">
        <v>409</v>
      </c>
      <c r="R103" s="372" t="s">
        <v>29</v>
      </c>
      <c r="S103" s="398"/>
      <c r="T103" s="231"/>
      <c r="U103" s="397" t="s">
        <v>409</v>
      </c>
      <c r="V103" s="372" t="s">
        <v>29</v>
      </c>
      <c r="W103" s="398"/>
      <c r="X103" s="231"/>
      <c r="Y103" s="397" t="s">
        <v>409</v>
      </c>
      <c r="Z103" s="372" t="s">
        <v>29</v>
      </c>
      <c r="AA103" s="398"/>
      <c r="AB103" s="231"/>
      <c r="AC103" s="397" t="s">
        <v>409</v>
      </c>
      <c r="AD103" s="372" t="s">
        <v>29</v>
      </c>
      <c r="AE103" s="398"/>
      <c r="AF103" s="231"/>
      <c r="AG103" s="397" t="s">
        <v>409</v>
      </c>
      <c r="AH103" s="372" t="s">
        <v>29</v>
      </c>
      <c r="AI103" s="398"/>
      <c r="AJ103" s="231"/>
      <c r="AK103" s="397" t="s">
        <v>409</v>
      </c>
      <c r="AL103" s="372" t="s">
        <v>29</v>
      </c>
      <c r="AM103" s="398"/>
      <c r="AN103" s="231"/>
      <c r="AO103" s="397" t="s">
        <v>409</v>
      </c>
      <c r="AP103" s="372" t="s">
        <v>29</v>
      </c>
      <c r="AQ103" s="398"/>
      <c r="AR103" s="231"/>
      <c r="AS103" s="397" t="s">
        <v>409</v>
      </c>
      <c r="AT103" s="372" t="s">
        <v>29</v>
      </c>
      <c r="AU103" s="398"/>
      <c r="AV103" s="231"/>
      <c r="AW103" s="397" t="s">
        <v>409</v>
      </c>
      <c r="AX103" s="372" t="s">
        <v>29</v>
      </c>
      <c r="AY103" s="398"/>
      <c r="AZ103" s="231"/>
      <c r="BA103" s="397" t="s">
        <v>409</v>
      </c>
      <c r="BB103" s="372" t="s">
        <v>29</v>
      </c>
      <c r="BC103" s="398"/>
      <c r="BD103" s="231"/>
      <c r="BE103" s="397" t="s">
        <v>409</v>
      </c>
      <c r="BF103" s="372" t="s">
        <v>29</v>
      </c>
      <c r="BG103" s="398"/>
      <c r="BH103" s="231"/>
      <c r="BI103" s="397" t="s">
        <v>409</v>
      </c>
      <c r="BJ103" s="372" t="s">
        <v>29</v>
      </c>
      <c r="BK103" s="398"/>
      <c r="BL103" s="231"/>
      <c r="BM103" s="397" t="s">
        <v>409</v>
      </c>
      <c r="BN103" s="372" t="s">
        <v>29</v>
      </c>
      <c r="BO103" s="398"/>
      <c r="BP103" s="231"/>
      <c r="BQ103" s="397" t="s">
        <v>409</v>
      </c>
      <c r="BR103" s="372" t="s">
        <v>29</v>
      </c>
      <c r="BS103" s="398"/>
      <c r="BT103" s="231"/>
      <c r="BU103" s="397" t="s">
        <v>409</v>
      </c>
      <c r="BV103" s="372" t="s">
        <v>29</v>
      </c>
      <c r="BW103" s="398"/>
      <c r="BX103" s="231"/>
      <c r="BY103" s="227"/>
      <c r="BZ103" s="397" t="s">
        <v>409</v>
      </c>
      <c r="CA103" s="372" t="s">
        <v>29</v>
      </c>
      <c r="CB103" s="398"/>
      <c r="CC103" s="231"/>
    </row>
    <row r="104" spans="1:81" s="453" customFormat="1" ht="18.75">
      <c r="A104" s="448" t="s">
        <v>220</v>
      </c>
      <c r="B104" s="527" t="s">
        <v>252</v>
      </c>
      <c r="C104" s="449" t="s">
        <v>28</v>
      </c>
      <c r="D104" s="511">
        <f>D105+D106</f>
        <v>1.1670000000000003</v>
      </c>
      <c r="E104" s="511" t="e">
        <f>E105+E106</f>
        <v>#REF!</v>
      </c>
      <c r="F104" s="529" t="e">
        <f>F105+F106</f>
        <v>#REF!</v>
      </c>
      <c r="G104" s="530" t="e">
        <f>E104/D104*100</f>
        <v>#REF!</v>
      </c>
      <c r="I104" s="448" t="s">
        <v>220</v>
      </c>
      <c r="J104" s="527" t="s">
        <v>154</v>
      </c>
      <c r="K104" s="449" t="s">
        <v>28</v>
      </c>
      <c r="L104" s="511">
        <f>L105+L106</f>
        <v>0.10400000000000001</v>
      </c>
      <c r="M104" s="448" t="s">
        <v>220</v>
      </c>
      <c r="N104" s="527" t="s">
        <v>154</v>
      </c>
      <c r="O104" s="449" t="s">
        <v>28</v>
      </c>
      <c r="P104" s="511">
        <f>P105+P106</f>
        <v>0.167</v>
      </c>
      <c r="Q104" s="448" t="s">
        <v>220</v>
      </c>
      <c r="R104" s="527" t="s">
        <v>154</v>
      </c>
      <c r="S104" s="449" t="s">
        <v>28</v>
      </c>
      <c r="T104" s="511">
        <f>T105+T106</f>
        <v>0.015</v>
      </c>
      <c r="U104" s="448" t="s">
        <v>220</v>
      </c>
      <c r="V104" s="527" t="s">
        <v>154</v>
      </c>
      <c r="W104" s="449" t="s">
        <v>28</v>
      </c>
      <c r="X104" s="511">
        <f>X105+X106</f>
        <v>0.04</v>
      </c>
      <c r="Y104" s="448" t="s">
        <v>220</v>
      </c>
      <c r="Z104" s="527" t="s">
        <v>154</v>
      </c>
      <c r="AA104" s="449" t="s">
        <v>28</v>
      </c>
      <c r="AB104" s="511">
        <f>AB105+AB106</f>
        <v>0.006</v>
      </c>
      <c r="AC104" s="448" t="s">
        <v>220</v>
      </c>
      <c r="AD104" s="527" t="s">
        <v>154</v>
      </c>
      <c r="AE104" s="449" t="s">
        <v>28</v>
      </c>
      <c r="AF104" s="511">
        <f>AF105+AF106</f>
        <v>0</v>
      </c>
      <c r="AG104" s="448" t="s">
        <v>220</v>
      </c>
      <c r="AH104" s="527" t="s">
        <v>154</v>
      </c>
      <c r="AI104" s="449" t="s">
        <v>28</v>
      </c>
      <c r="AJ104" s="511">
        <f>AJ105+AJ106</f>
        <v>0.134</v>
      </c>
      <c r="AK104" s="448" t="s">
        <v>220</v>
      </c>
      <c r="AL104" s="527" t="s">
        <v>154</v>
      </c>
      <c r="AM104" s="449" t="s">
        <v>28</v>
      </c>
      <c r="AN104" s="511">
        <f>AN105+AN106</f>
        <v>0.10600000000000001</v>
      </c>
      <c r="AO104" s="448" t="s">
        <v>220</v>
      </c>
      <c r="AP104" s="527" t="s">
        <v>154</v>
      </c>
      <c r="AQ104" s="449" t="s">
        <v>28</v>
      </c>
      <c r="AR104" s="511">
        <f>AR105+AR106</f>
        <v>0.08</v>
      </c>
      <c r="AS104" s="448" t="s">
        <v>220</v>
      </c>
      <c r="AT104" s="527" t="s">
        <v>154</v>
      </c>
      <c r="AU104" s="449" t="s">
        <v>28</v>
      </c>
      <c r="AV104" s="511">
        <f>AV105+AV106</f>
        <v>0.15</v>
      </c>
      <c r="AW104" s="448" t="s">
        <v>220</v>
      </c>
      <c r="AX104" s="527" t="s">
        <v>154</v>
      </c>
      <c r="AY104" s="449" t="s">
        <v>28</v>
      </c>
      <c r="AZ104" s="511">
        <f>AZ105+AZ106</f>
        <v>0.12000000000000001</v>
      </c>
      <c r="BA104" s="448" t="s">
        <v>220</v>
      </c>
      <c r="BB104" s="527" t="s">
        <v>154</v>
      </c>
      <c r="BC104" s="449" t="s">
        <v>28</v>
      </c>
      <c r="BD104" s="511">
        <f>BD105+BD106</f>
        <v>0.036000000000000004</v>
      </c>
      <c r="BE104" s="448" t="s">
        <v>220</v>
      </c>
      <c r="BF104" s="527" t="s">
        <v>154</v>
      </c>
      <c r="BG104" s="449" t="s">
        <v>28</v>
      </c>
      <c r="BH104" s="511">
        <f>BH105+BH106</f>
        <v>0.01</v>
      </c>
      <c r="BI104" s="448" t="s">
        <v>220</v>
      </c>
      <c r="BJ104" s="527" t="s">
        <v>154</v>
      </c>
      <c r="BK104" s="449" t="s">
        <v>28</v>
      </c>
      <c r="BL104" s="511">
        <f>BL105+BL106</f>
        <v>0.04</v>
      </c>
      <c r="BM104" s="448" t="s">
        <v>220</v>
      </c>
      <c r="BN104" s="527" t="s">
        <v>154</v>
      </c>
      <c r="BO104" s="449" t="s">
        <v>28</v>
      </c>
      <c r="BP104" s="511">
        <f>BP105+BP106</f>
        <v>0.09000000000000001</v>
      </c>
      <c r="BQ104" s="448" t="s">
        <v>220</v>
      </c>
      <c r="BR104" s="527" t="s">
        <v>154</v>
      </c>
      <c r="BS104" s="449" t="s">
        <v>28</v>
      </c>
      <c r="BT104" s="511">
        <f>BT105+BT106</f>
        <v>0.035</v>
      </c>
      <c r="BU104" s="448" t="s">
        <v>220</v>
      </c>
      <c r="BV104" s="527" t="s">
        <v>154</v>
      </c>
      <c r="BW104" s="449" t="s">
        <v>28</v>
      </c>
      <c r="BX104" s="511">
        <f>BX105+BX106</f>
        <v>0.034</v>
      </c>
      <c r="BY104" s="455" t="e">
        <f>#REF!/BX104*100</f>
        <v>#REF!</v>
      </c>
      <c r="BZ104" s="448" t="s">
        <v>220</v>
      </c>
      <c r="CA104" s="527" t="s">
        <v>154</v>
      </c>
      <c r="CB104" s="449" t="s">
        <v>28</v>
      </c>
      <c r="CC104" s="511"/>
    </row>
    <row r="105" spans="1:81" s="169" customFormat="1" ht="12.75">
      <c r="A105" s="20" t="s">
        <v>194</v>
      </c>
      <c r="B105" s="3" t="s">
        <v>349</v>
      </c>
      <c r="C105" s="11" t="s">
        <v>28</v>
      </c>
      <c r="D105" s="153">
        <f>L105+P105+T105+X105+AB105+AF105+AJ105+AN105+AR105+AV105+AZ105+BD105+BH105+BL105+BP105+BT105+BX105+CC105</f>
        <v>0.9890000000000002</v>
      </c>
      <c r="E105" s="68" t="e">
        <f>#REF!+#REF!+#REF!+#REF!+#REF!+#REF!+#REF!+#REF!+#REF!+#REF!+#REF!+#REF!+#REF!+#REF!+#REF!+#REF!+#REF!+#REF!</f>
        <v>#REF!</v>
      </c>
      <c r="F105" s="77" t="e">
        <f>#REF!+#REF!+#REF!+#REF!+#REF!+#REF!+#REF!+#REF!+#REF!+#REF!+#REF!+#REF!+#REF!+#REF!+#REF!+#REF!+#REF!+#REF!</f>
        <v>#REF!</v>
      </c>
      <c r="G105" s="383"/>
      <c r="I105" s="20" t="s">
        <v>194</v>
      </c>
      <c r="J105" s="3" t="s">
        <v>349</v>
      </c>
      <c r="K105" s="11" t="s">
        <v>28</v>
      </c>
      <c r="L105" s="382">
        <f>0.08+0.024</f>
        <v>0.10400000000000001</v>
      </c>
      <c r="M105" s="20" t="s">
        <v>194</v>
      </c>
      <c r="N105" s="3" t="s">
        <v>349</v>
      </c>
      <c r="O105" s="11" t="s">
        <v>28</v>
      </c>
      <c r="P105" s="382">
        <f>0.1+0.037</f>
        <v>0.137</v>
      </c>
      <c r="Q105" s="20" t="s">
        <v>194</v>
      </c>
      <c r="R105" s="3" t="s">
        <v>349</v>
      </c>
      <c r="S105" s="11" t="s">
        <v>28</v>
      </c>
      <c r="T105" s="382">
        <v>0.015</v>
      </c>
      <c r="U105" s="20" t="s">
        <v>194</v>
      </c>
      <c r="V105" s="3" t="s">
        <v>349</v>
      </c>
      <c r="W105" s="11" t="s">
        <v>28</v>
      </c>
      <c r="X105" s="382">
        <v>0.03</v>
      </c>
      <c r="Y105" s="20" t="s">
        <v>194</v>
      </c>
      <c r="Z105" s="3" t="s">
        <v>349</v>
      </c>
      <c r="AA105" s="11" t="s">
        <v>28</v>
      </c>
      <c r="AB105" s="382"/>
      <c r="AC105" s="20" t="s">
        <v>194</v>
      </c>
      <c r="AD105" s="3" t="s">
        <v>349</v>
      </c>
      <c r="AE105" s="11" t="s">
        <v>28</v>
      </c>
      <c r="AF105" s="382"/>
      <c r="AG105" s="20" t="s">
        <v>194</v>
      </c>
      <c r="AH105" s="3" t="s">
        <v>349</v>
      </c>
      <c r="AI105" s="11" t="s">
        <v>28</v>
      </c>
      <c r="AJ105" s="384">
        <v>0.134</v>
      </c>
      <c r="AK105" s="20" t="s">
        <v>194</v>
      </c>
      <c r="AL105" s="3" t="s">
        <v>349</v>
      </c>
      <c r="AM105" s="11" t="s">
        <v>28</v>
      </c>
      <c r="AN105" s="385">
        <v>0.05</v>
      </c>
      <c r="AO105" s="20" t="s">
        <v>194</v>
      </c>
      <c r="AP105" s="3" t="s">
        <v>349</v>
      </c>
      <c r="AQ105" s="11" t="s">
        <v>28</v>
      </c>
      <c r="AR105" s="382">
        <f>0.04+0.04</f>
        <v>0.08</v>
      </c>
      <c r="AS105" s="20" t="s">
        <v>194</v>
      </c>
      <c r="AT105" s="3" t="s">
        <v>349</v>
      </c>
      <c r="AU105" s="11" t="s">
        <v>28</v>
      </c>
      <c r="AV105" s="382">
        <f>0.065+0.065</f>
        <v>0.13</v>
      </c>
      <c r="AW105" s="20" t="s">
        <v>194</v>
      </c>
      <c r="AX105" s="3" t="s">
        <v>349</v>
      </c>
      <c r="AY105" s="11" t="s">
        <v>28</v>
      </c>
      <c r="AZ105" s="382">
        <v>0.1</v>
      </c>
      <c r="BA105" s="20" t="s">
        <v>194</v>
      </c>
      <c r="BB105" s="3" t="s">
        <v>349</v>
      </c>
      <c r="BC105" s="11" t="s">
        <v>28</v>
      </c>
      <c r="BD105" s="382">
        <v>0.02</v>
      </c>
      <c r="BE105" s="20" t="s">
        <v>194</v>
      </c>
      <c r="BF105" s="3" t="s">
        <v>349</v>
      </c>
      <c r="BG105" s="11" t="s">
        <v>28</v>
      </c>
      <c r="BH105" s="382">
        <v>0.01</v>
      </c>
      <c r="BI105" s="20" t="s">
        <v>194</v>
      </c>
      <c r="BJ105" s="3" t="s">
        <v>349</v>
      </c>
      <c r="BK105" s="11" t="s">
        <v>28</v>
      </c>
      <c r="BL105" s="382">
        <v>0.04</v>
      </c>
      <c r="BM105" s="20" t="s">
        <v>194</v>
      </c>
      <c r="BN105" s="3" t="s">
        <v>349</v>
      </c>
      <c r="BO105" s="11" t="s">
        <v>28</v>
      </c>
      <c r="BP105" s="382">
        <v>0.07</v>
      </c>
      <c r="BQ105" s="20" t="s">
        <v>194</v>
      </c>
      <c r="BR105" s="3" t="s">
        <v>349</v>
      </c>
      <c r="BS105" s="11" t="s">
        <v>28</v>
      </c>
      <c r="BT105" s="382">
        <v>0.035</v>
      </c>
      <c r="BU105" s="20" t="s">
        <v>194</v>
      </c>
      <c r="BV105" s="3" t="s">
        <v>349</v>
      </c>
      <c r="BW105" s="11" t="s">
        <v>28</v>
      </c>
      <c r="BX105" s="382">
        <f>0.01+0.024</f>
        <v>0.034</v>
      </c>
      <c r="BY105" s="168"/>
      <c r="BZ105" s="20" t="s">
        <v>194</v>
      </c>
      <c r="CA105" s="3" t="s">
        <v>349</v>
      </c>
      <c r="CB105" s="11" t="s">
        <v>28</v>
      </c>
      <c r="CC105" s="382"/>
    </row>
    <row r="106" spans="1:81" s="169" customFormat="1" ht="12.75">
      <c r="A106" s="20" t="s">
        <v>195</v>
      </c>
      <c r="B106" s="3" t="s">
        <v>350</v>
      </c>
      <c r="C106" s="11" t="s">
        <v>28</v>
      </c>
      <c r="D106" s="153">
        <f>L106+P106+T106+X106+AB106+AF106+AJ106+AN106+AR106+AV106+AZ106+BD106+BH106+BL106+BP106+BT106+BX106+CC106</f>
        <v>0.17800000000000002</v>
      </c>
      <c r="E106" s="68" t="e">
        <f>#REF!+#REF!+#REF!+#REF!+#REF!+#REF!+#REF!+#REF!+#REF!+#REF!+#REF!+#REF!+#REF!+#REF!+#REF!+#REF!+#REF!+#REF!</f>
        <v>#REF!</v>
      </c>
      <c r="F106" s="77" t="e">
        <f>#REF!+#REF!+#REF!+#REF!+#REF!+#REF!+#REF!+#REF!+#REF!+#REF!+#REF!+#REF!+#REF!+#REF!+#REF!+#REF!+#REF!+#REF!</f>
        <v>#REF!</v>
      </c>
      <c r="G106" s="383"/>
      <c r="I106" s="20" t="s">
        <v>195</v>
      </c>
      <c r="J106" s="3" t="s">
        <v>350</v>
      </c>
      <c r="K106" s="11" t="s">
        <v>28</v>
      </c>
      <c r="L106" s="382"/>
      <c r="M106" s="20" t="s">
        <v>195</v>
      </c>
      <c r="N106" s="3" t="s">
        <v>350</v>
      </c>
      <c r="O106" s="11" t="s">
        <v>28</v>
      </c>
      <c r="P106" s="382">
        <v>0.03</v>
      </c>
      <c r="Q106" s="20" t="s">
        <v>195</v>
      </c>
      <c r="R106" s="3" t="s">
        <v>350</v>
      </c>
      <c r="S106" s="11" t="s">
        <v>28</v>
      </c>
      <c r="T106" s="382"/>
      <c r="U106" s="20" t="s">
        <v>195</v>
      </c>
      <c r="V106" s="3" t="s">
        <v>350</v>
      </c>
      <c r="W106" s="11" t="s">
        <v>28</v>
      </c>
      <c r="X106" s="382">
        <v>0.01</v>
      </c>
      <c r="Y106" s="20" t="s">
        <v>195</v>
      </c>
      <c r="Z106" s="3" t="s">
        <v>350</v>
      </c>
      <c r="AA106" s="11" t="s">
        <v>28</v>
      </c>
      <c r="AB106" s="385">
        <v>0.006</v>
      </c>
      <c r="AC106" s="20" t="s">
        <v>195</v>
      </c>
      <c r="AD106" s="3" t="s">
        <v>350</v>
      </c>
      <c r="AE106" s="11" t="s">
        <v>28</v>
      </c>
      <c r="AF106" s="382"/>
      <c r="AG106" s="20" t="s">
        <v>195</v>
      </c>
      <c r="AH106" s="3" t="s">
        <v>350</v>
      </c>
      <c r="AI106" s="11" t="s">
        <v>28</v>
      </c>
      <c r="AJ106" s="384"/>
      <c r="AK106" s="20" t="s">
        <v>195</v>
      </c>
      <c r="AL106" s="3" t="s">
        <v>350</v>
      </c>
      <c r="AM106" s="11" t="s">
        <v>28</v>
      </c>
      <c r="AN106" s="385">
        <v>0.056</v>
      </c>
      <c r="AO106" s="20" t="s">
        <v>195</v>
      </c>
      <c r="AP106" s="3" t="s">
        <v>350</v>
      </c>
      <c r="AQ106" s="11" t="s">
        <v>28</v>
      </c>
      <c r="AR106" s="382"/>
      <c r="AS106" s="20" t="s">
        <v>195</v>
      </c>
      <c r="AT106" s="3" t="s">
        <v>350</v>
      </c>
      <c r="AU106" s="11" t="s">
        <v>28</v>
      </c>
      <c r="AV106" s="382">
        <v>0.02</v>
      </c>
      <c r="AW106" s="20" t="s">
        <v>195</v>
      </c>
      <c r="AX106" s="3" t="s">
        <v>350</v>
      </c>
      <c r="AY106" s="11" t="s">
        <v>28</v>
      </c>
      <c r="AZ106" s="382">
        <v>0.02</v>
      </c>
      <c r="BA106" s="20" t="s">
        <v>195</v>
      </c>
      <c r="BB106" s="3" t="s">
        <v>350</v>
      </c>
      <c r="BC106" s="11" t="s">
        <v>28</v>
      </c>
      <c r="BD106" s="382">
        <v>0.016</v>
      </c>
      <c r="BE106" s="20" t="s">
        <v>195</v>
      </c>
      <c r="BF106" s="3" t="s">
        <v>350</v>
      </c>
      <c r="BG106" s="11" t="s">
        <v>28</v>
      </c>
      <c r="BH106" s="382"/>
      <c r="BI106" s="20" t="s">
        <v>195</v>
      </c>
      <c r="BJ106" s="3" t="s">
        <v>350</v>
      </c>
      <c r="BK106" s="11" t="s">
        <v>28</v>
      </c>
      <c r="BL106" s="382"/>
      <c r="BM106" s="20" t="s">
        <v>195</v>
      </c>
      <c r="BN106" s="3" t="s">
        <v>350</v>
      </c>
      <c r="BO106" s="11" t="s">
        <v>28</v>
      </c>
      <c r="BP106" s="382">
        <v>0.02</v>
      </c>
      <c r="BQ106" s="20" t="s">
        <v>195</v>
      </c>
      <c r="BR106" s="3" t="s">
        <v>350</v>
      </c>
      <c r="BS106" s="11" t="s">
        <v>28</v>
      </c>
      <c r="BT106" s="382"/>
      <c r="BU106" s="20" t="s">
        <v>195</v>
      </c>
      <c r="BV106" s="3" t="s">
        <v>350</v>
      </c>
      <c r="BW106" s="11" t="s">
        <v>28</v>
      </c>
      <c r="BX106" s="382"/>
      <c r="BY106" s="168"/>
      <c r="BZ106" s="20" t="s">
        <v>195</v>
      </c>
      <c r="CA106" s="3" t="s">
        <v>350</v>
      </c>
      <c r="CB106" s="11" t="s">
        <v>28</v>
      </c>
      <c r="CC106" s="382"/>
    </row>
    <row r="107" spans="1:81" ht="12.75">
      <c r="A107" s="20" t="s">
        <v>196</v>
      </c>
      <c r="B107" s="3" t="s">
        <v>253</v>
      </c>
      <c r="C107" s="11" t="s">
        <v>11</v>
      </c>
      <c r="D107" s="154">
        <f>L107+P107+T107+X107+AB107+AF107+AJ107+AN107+AR107+AV107+AZ107+BD107+BH107+BL107+BP107+BT107+BX107+CC107</f>
        <v>18</v>
      </c>
      <c r="E107" s="68" t="e">
        <f>#REF!+#REF!+#REF!+#REF!+#REF!+#REF!+#REF!+#REF!+#REF!+#REF!+#REF!+#REF!+#REF!+#REF!+#REF!+#REF!+#REF!+#REF!</f>
        <v>#REF!</v>
      </c>
      <c r="F107" s="77" t="e">
        <f>#REF!+#REF!+#REF!+#REF!+#REF!+#REF!+#REF!+#REF!+#REF!+#REF!+#REF!+#REF!+#REF!+#REF!+#REF!+#REF!+#REF!+#REF!</f>
        <v>#REF!</v>
      </c>
      <c r="G107" s="259" t="e">
        <f>E107/D107*100</f>
        <v>#REF!</v>
      </c>
      <c r="H107" t="e">
        <f>#REF!/182</f>
        <v>#REF!</v>
      </c>
      <c r="I107" s="20" t="s">
        <v>196</v>
      </c>
      <c r="J107" s="3" t="s">
        <v>153</v>
      </c>
      <c r="K107" s="11" t="s">
        <v>11</v>
      </c>
      <c r="L107" s="52">
        <v>1</v>
      </c>
      <c r="M107" s="20" t="s">
        <v>196</v>
      </c>
      <c r="N107" s="3" t="s">
        <v>153</v>
      </c>
      <c r="O107" s="11" t="s">
        <v>11</v>
      </c>
      <c r="P107" s="52">
        <v>1</v>
      </c>
      <c r="Q107" s="20" t="s">
        <v>196</v>
      </c>
      <c r="R107" s="3" t="s">
        <v>153</v>
      </c>
      <c r="S107" s="11" t="s">
        <v>11</v>
      </c>
      <c r="T107" s="52">
        <v>1</v>
      </c>
      <c r="U107" s="20" t="s">
        <v>196</v>
      </c>
      <c r="V107" s="3" t="s">
        <v>153</v>
      </c>
      <c r="W107" s="11" t="s">
        <v>11</v>
      </c>
      <c r="X107" s="52">
        <v>1</v>
      </c>
      <c r="Y107" s="20" t="s">
        <v>196</v>
      </c>
      <c r="Z107" s="3" t="s">
        <v>153</v>
      </c>
      <c r="AA107" s="11" t="s">
        <v>11</v>
      </c>
      <c r="AB107" s="52">
        <v>1</v>
      </c>
      <c r="AC107" s="20" t="s">
        <v>196</v>
      </c>
      <c r="AD107" s="3" t="s">
        <v>153</v>
      </c>
      <c r="AE107" s="11" t="s">
        <v>11</v>
      </c>
      <c r="AF107" s="52">
        <v>1</v>
      </c>
      <c r="AG107" s="20" t="s">
        <v>196</v>
      </c>
      <c r="AH107" s="3" t="s">
        <v>153</v>
      </c>
      <c r="AI107" s="11" t="s">
        <v>11</v>
      </c>
      <c r="AJ107" s="52">
        <v>1</v>
      </c>
      <c r="AK107" s="20" t="s">
        <v>196</v>
      </c>
      <c r="AL107" s="3" t="s">
        <v>153</v>
      </c>
      <c r="AM107" s="11" t="s">
        <v>11</v>
      </c>
      <c r="AN107" s="52">
        <v>1</v>
      </c>
      <c r="AO107" s="20" t="s">
        <v>196</v>
      </c>
      <c r="AP107" s="3" t="s">
        <v>153</v>
      </c>
      <c r="AQ107" s="11" t="s">
        <v>11</v>
      </c>
      <c r="AR107" s="52">
        <v>1</v>
      </c>
      <c r="AS107" s="20" t="s">
        <v>196</v>
      </c>
      <c r="AT107" s="3" t="s">
        <v>153</v>
      </c>
      <c r="AU107" s="11" t="s">
        <v>11</v>
      </c>
      <c r="AV107" s="52">
        <v>1</v>
      </c>
      <c r="AW107" s="20" t="s">
        <v>196</v>
      </c>
      <c r="AX107" s="3" t="s">
        <v>386</v>
      </c>
      <c r="AY107" s="11" t="s">
        <v>11</v>
      </c>
      <c r="AZ107" s="52">
        <v>1</v>
      </c>
      <c r="BA107" s="20" t="s">
        <v>196</v>
      </c>
      <c r="BB107" s="3" t="s">
        <v>153</v>
      </c>
      <c r="BC107" s="11" t="s">
        <v>11</v>
      </c>
      <c r="BD107" s="52">
        <v>1</v>
      </c>
      <c r="BE107" s="20" t="s">
        <v>196</v>
      </c>
      <c r="BF107" s="3" t="s">
        <v>153</v>
      </c>
      <c r="BG107" s="11" t="s">
        <v>11</v>
      </c>
      <c r="BH107" s="52">
        <v>1</v>
      </c>
      <c r="BI107" s="20" t="s">
        <v>196</v>
      </c>
      <c r="BJ107" s="3" t="s">
        <v>153</v>
      </c>
      <c r="BK107" s="11" t="s">
        <v>11</v>
      </c>
      <c r="BL107" s="52">
        <v>1</v>
      </c>
      <c r="BM107" s="20" t="s">
        <v>196</v>
      </c>
      <c r="BN107" s="3" t="s">
        <v>153</v>
      </c>
      <c r="BO107" s="11" t="s">
        <v>11</v>
      </c>
      <c r="BP107" s="52">
        <v>1</v>
      </c>
      <c r="BQ107" s="20" t="s">
        <v>196</v>
      </c>
      <c r="BR107" s="3" t="s">
        <v>153</v>
      </c>
      <c r="BS107" s="11" t="s">
        <v>11</v>
      </c>
      <c r="BT107" s="154">
        <v>1</v>
      </c>
      <c r="BU107" s="20" t="s">
        <v>196</v>
      </c>
      <c r="BV107" s="3" t="s">
        <v>153</v>
      </c>
      <c r="BW107" s="11" t="s">
        <v>11</v>
      </c>
      <c r="BX107" s="52">
        <v>1</v>
      </c>
      <c r="BY107" s="253" t="e">
        <f>#REF!/BX107*100</f>
        <v>#REF!</v>
      </c>
      <c r="BZ107" s="20" t="s">
        <v>196</v>
      </c>
      <c r="CA107" s="3" t="s">
        <v>153</v>
      </c>
      <c r="CB107" s="11" t="s">
        <v>11</v>
      </c>
      <c r="CC107" s="52">
        <v>1</v>
      </c>
    </row>
    <row r="108" spans="1:81" ht="12.75">
      <c r="A108" s="20" t="s">
        <v>197</v>
      </c>
      <c r="B108" s="3" t="s">
        <v>35</v>
      </c>
      <c r="C108" s="11" t="s">
        <v>28</v>
      </c>
      <c r="D108" s="153">
        <f>L108+P108+T108+X108+AB108+AF108+AJ108+AN108+AR108+AV108+AZ108+BD108+BH108+BL108+BP108+BT108+BX108+CC108</f>
        <v>0.15</v>
      </c>
      <c r="E108" s="68" t="e">
        <f>#REF!+#REF!+#REF!+#REF!+#REF!+#REF!+#REF!+#REF!+#REF!+#REF!+#REF!+#REF!+#REF!+#REF!+#REF!+#REF!+#REF!+#REF!</f>
        <v>#REF!</v>
      </c>
      <c r="F108" s="77" t="e">
        <f>#REF!+#REF!+#REF!+#REF!+#REF!+#REF!+#REF!+#REF!+#REF!+#REF!+#REF!+#REF!+#REF!+#REF!+#REF!+#REF!+#REF!+#REF!</f>
        <v>#REF!</v>
      </c>
      <c r="G108" s="259" t="e">
        <f>E108/D108*100</f>
        <v>#REF!</v>
      </c>
      <c r="I108" s="20" t="s">
        <v>197</v>
      </c>
      <c r="J108" s="3" t="s">
        <v>35</v>
      </c>
      <c r="K108" s="11" t="s">
        <v>28</v>
      </c>
      <c r="L108" s="60"/>
      <c r="M108" s="20" t="s">
        <v>197</v>
      </c>
      <c r="N108" s="3" t="s">
        <v>35</v>
      </c>
      <c r="O108" s="11" t="s">
        <v>28</v>
      </c>
      <c r="P108" s="60">
        <v>0.02</v>
      </c>
      <c r="Q108" s="20" t="s">
        <v>197</v>
      </c>
      <c r="R108" s="3" t="s">
        <v>35</v>
      </c>
      <c r="S108" s="11" t="s">
        <v>28</v>
      </c>
      <c r="T108" s="60"/>
      <c r="U108" s="20" t="s">
        <v>197</v>
      </c>
      <c r="V108" s="3" t="s">
        <v>35</v>
      </c>
      <c r="W108" s="11" t="s">
        <v>28</v>
      </c>
      <c r="X108" s="60"/>
      <c r="Y108" s="20" t="s">
        <v>197</v>
      </c>
      <c r="Z108" s="3" t="s">
        <v>35</v>
      </c>
      <c r="AA108" s="11" t="s">
        <v>28</v>
      </c>
      <c r="AB108" s="60"/>
      <c r="AC108" s="20" t="s">
        <v>197</v>
      </c>
      <c r="AD108" s="3" t="s">
        <v>35</v>
      </c>
      <c r="AE108" s="11" t="s">
        <v>28</v>
      </c>
      <c r="AF108" s="60"/>
      <c r="AG108" s="20" t="s">
        <v>197</v>
      </c>
      <c r="AH108" s="3" t="s">
        <v>35</v>
      </c>
      <c r="AI108" s="11" t="s">
        <v>28</v>
      </c>
      <c r="AJ108" s="60"/>
      <c r="AK108" s="20" t="s">
        <v>197</v>
      </c>
      <c r="AL108" s="3" t="s">
        <v>35</v>
      </c>
      <c r="AM108" s="11" t="s">
        <v>28</v>
      </c>
      <c r="AN108" s="60">
        <v>0.06</v>
      </c>
      <c r="AO108" s="20" t="s">
        <v>197</v>
      </c>
      <c r="AP108" s="3" t="s">
        <v>35</v>
      </c>
      <c r="AQ108" s="11" t="s">
        <v>28</v>
      </c>
      <c r="AR108" s="60"/>
      <c r="AS108" s="20" t="s">
        <v>197</v>
      </c>
      <c r="AT108" s="3" t="s">
        <v>35</v>
      </c>
      <c r="AU108" s="11" t="s">
        <v>28</v>
      </c>
      <c r="AV108" s="60">
        <v>0.02</v>
      </c>
      <c r="AW108" s="20" t="s">
        <v>197</v>
      </c>
      <c r="AX108" s="3" t="s">
        <v>35</v>
      </c>
      <c r="AY108" s="11" t="s">
        <v>28</v>
      </c>
      <c r="AZ108" s="60">
        <v>0.03</v>
      </c>
      <c r="BA108" s="20" t="s">
        <v>197</v>
      </c>
      <c r="BB108" s="3" t="s">
        <v>35</v>
      </c>
      <c r="BC108" s="11" t="s">
        <v>28</v>
      </c>
      <c r="BD108" s="60"/>
      <c r="BE108" s="20" t="s">
        <v>197</v>
      </c>
      <c r="BF108" s="3" t="s">
        <v>35</v>
      </c>
      <c r="BG108" s="11" t="s">
        <v>28</v>
      </c>
      <c r="BH108" s="60"/>
      <c r="BI108" s="20" t="s">
        <v>197</v>
      </c>
      <c r="BJ108" s="3" t="s">
        <v>35</v>
      </c>
      <c r="BK108" s="11" t="s">
        <v>28</v>
      </c>
      <c r="BL108" s="60"/>
      <c r="BM108" s="20" t="s">
        <v>197</v>
      </c>
      <c r="BN108" s="3" t="s">
        <v>35</v>
      </c>
      <c r="BO108" s="11" t="s">
        <v>28</v>
      </c>
      <c r="BP108" s="60">
        <v>0.02</v>
      </c>
      <c r="BQ108" s="20" t="s">
        <v>197</v>
      </c>
      <c r="BR108" s="3" t="s">
        <v>35</v>
      </c>
      <c r="BS108" s="11" t="s">
        <v>28</v>
      </c>
      <c r="BT108" s="153"/>
      <c r="BU108" s="20" t="s">
        <v>197</v>
      </c>
      <c r="BV108" s="3" t="s">
        <v>35</v>
      </c>
      <c r="BW108" s="11" t="s">
        <v>28</v>
      </c>
      <c r="BX108" s="60"/>
      <c r="BY108" s="253"/>
      <c r="BZ108" s="20" t="s">
        <v>197</v>
      </c>
      <c r="CA108" s="3" t="s">
        <v>35</v>
      </c>
      <c r="CB108" s="11" t="s">
        <v>28</v>
      </c>
      <c r="CC108" s="60"/>
    </row>
    <row r="109" spans="1:81" ht="15" customHeight="1" hidden="1">
      <c r="A109" s="20" t="s">
        <v>198</v>
      </c>
      <c r="B109" s="3" t="s">
        <v>37</v>
      </c>
      <c r="C109" s="11" t="s">
        <v>28</v>
      </c>
      <c r="D109" s="153">
        <f>L109+P109+T109+X109+AB109+AF109+AJ109+AN109+AR109+AV109+AZ109+BD109+BH109+BL109+BP109+BT109+BX109</f>
        <v>0</v>
      </c>
      <c r="E109" s="68" t="e">
        <f>#REF!+#REF!+#REF!+#REF!+#REF!+#REF!+#REF!+#REF!+#REF!+#REF!+#REF!+#REF!+#REF!+#REF!+#REF!+#REF!+#REF!+#REF!</f>
        <v>#REF!</v>
      </c>
      <c r="F109" s="77" t="e">
        <f>#REF!+#REF!+#REF!+#REF!+#REF!+#REF!+#REF!+#REF!+#REF!+#REF!+#REF!+#REF!+#REF!+#REF!+#REF!+#REF!+#REF!+#REF!</f>
        <v>#REF!</v>
      </c>
      <c r="G109" s="259"/>
      <c r="I109" s="20" t="s">
        <v>198</v>
      </c>
      <c r="J109" s="3" t="s">
        <v>37</v>
      </c>
      <c r="K109" s="11" t="s">
        <v>28</v>
      </c>
      <c r="L109" s="60"/>
      <c r="M109" s="20" t="s">
        <v>198</v>
      </c>
      <c r="N109" s="3" t="s">
        <v>37</v>
      </c>
      <c r="O109" s="11" t="s">
        <v>28</v>
      </c>
      <c r="P109" s="60"/>
      <c r="Q109" s="20" t="s">
        <v>198</v>
      </c>
      <c r="R109" s="3" t="s">
        <v>37</v>
      </c>
      <c r="S109" s="11" t="s">
        <v>28</v>
      </c>
      <c r="T109" s="60"/>
      <c r="U109" s="20" t="s">
        <v>198</v>
      </c>
      <c r="V109" s="3" t="s">
        <v>37</v>
      </c>
      <c r="W109" s="11" t="s">
        <v>28</v>
      </c>
      <c r="X109" s="60"/>
      <c r="Y109" s="20" t="s">
        <v>198</v>
      </c>
      <c r="Z109" s="3" t="s">
        <v>37</v>
      </c>
      <c r="AA109" s="11" t="s">
        <v>28</v>
      </c>
      <c r="AB109" s="60"/>
      <c r="AC109" s="20" t="s">
        <v>198</v>
      </c>
      <c r="AD109" s="3" t="s">
        <v>37</v>
      </c>
      <c r="AE109" s="11" t="s">
        <v>28</v>
      </c>
      <c r="AF109" s="60"/>
      <c r="AG109" s="20" t="s">
        <v>198</v>
      </c>
      <c r="AH109" s="3" t="s">
        <v>37</v>
      </c>
      <c r="AI109" s="11" t="s">
        <v>28</v>
      </c>
      <c r="AJ109" s="60"/>
      <c r="AK109" s="20" t="s">
        <v>198</v>
      </c>
      <c r="AL109" s="3" t="s">
        <v>37</v>
      </c>
      <c r="AM109" s="11" t="s">
        <v>28</v>
      </c>
      <c r="AN109" s="60"/>
      <c r="AO109" s="20" t="s">
        <v>198</v>
      </c>
      <c r="AP109" s="3" t="s">
        <v>37</v>
      </c>
      <c r="AQ109" s="11" t="s">
        <v>28</v>
      </c>
      <c r="AR109" s="60"/>
      <c r="AS109" s="20" t="s">
        <v>198</v>
      </c>
      <c r="AT109" s="3" t="s">
        <v>37</v>
      </c>
      <c r="AU109" s="11" t="s">
        <v>28</v>
      </c>
      <c r="AV109" s="60"/>
      <c r="AW109" s="20" t="s">
        <v>198</v>
      </c>
      <c r="AX109" s="3" t="s">
        <v>37</v>
      </c>
      <c r="AY109" s="11" t="s">
        <v>28</v>
      </c>
      <c r="AZ109" s="60"/>
      <c r="BA109" s="20" t="s">
        <v>198</v>
      </c>
      <c r="BB109" s="3" t="s">
        <v>37</v>
      </c>
      <c r="BC109" s="11" t="s">
        <v>28</v>
      </c>
      <c r="BD109" s="60"/>
      <c r="BE109" s="20" t="s">
        <v>198</v>
      </c>
      <c r="BF109" s="3" t="s">
        <v>37</v>
      </c>
      <c r="BG109" s="11" t="s">
        <v>28</v>
      </c>
      <c r="BH109" s="60"/>
      <c r="BI109" s="20" t="s">
        <v>198</v>
      </c>
      <c r="BJ109" s="3" t="s">
        <v>37</v>
      </c>
      <c r="BK109" s="11" t="s">
        <v>28</v>
      </c>
      <c r="BL109" s="60"/>
      <c r="BM109" s="20" t="s">
        <v>198</v>
      </c>
      <c r="BN109" s="3" t="s">
        <v>37</v>
      </c>
      <c r="BO109" s="11" t="s">
        <v>28</v>
      </c>
      <c r="BP109" s="60"/>
      <c r="BQ109" s="20" t="s">
        <v>198</v>
      </c>
      <c r="BR109" s="3" t="s">
        <v>37</v>
      </c>
      <c r="BS109" s="11" t="s">
        <v>28</v>
      </c>
      <c r="BT109" s="153"/>
      <c r="BU109" s="20" t="s">
        <v>198</v>
      </c>
      <c r="BV109" s="3" t="s">
        <v>37</v>
      </c>
      <c r="BW109" s="11" t="s">
        <v>28</v>
      </c>
      <c r="BX109" s="60"/>
      <c r="BY109" s="253"/>
      <c r="BZ109" s="20" t="s">
        <v>198</v>
      </c>
      <c r="CA109" s="3" t="s">
        <v>37</v>
      </c>
      <c r="CB109" s="11" t="s">
        <v>28</v>
      </c>
      <c r="CC109" s="60"/>
    </row>
    <row r="110" spans="1:81" ht="15" customHeight="1">
      <c r="A110" s="20" t="s">
        <v>198</v>
      </c>
      <c r="B110" s="3" t="s">
        <v>348</v>
      </c>
      <c r="C110" s="11" t="s">
        <v>25</v>
      </c>
      <c r="D110" s="153"/>
      <c r="E110" s="671" t="e">
        <f>#REF!+#REF!+#REF!+#REF!+#REF!+#REF!+#REF!+#REF!+#REF!+#REF!+#REF!+#REF!+#REF!+#REF!+#REF!+#REF!+#REF!+#REF!</f>
        <v>#REF!</v>
      </c>
      <c r="F110" s="671" t="e">
        <f>#REF!+#REF!+#REF!+#REF!+#REF!+#REF!+#REF!+#REF!+#REF!+#REF!+#REF!+#REF!+#REF!+#REF!+#REF!+#REF!+#REF!+#REF!</f>
        <v>#REF!</v>
      </c>
      <c r="G110" s="672"/>
      <c r="H110" s="355"/>
      <c r="I110" s="20" t="s">
        <v>198</v>
      </c>
      <c r="J110" s="3" t="s">
        <v>348</v>
      </c>
      <c r="K110" s="11" t="s">
        <v>25</v>
      </c>
      <c r="L110" s="52"/>
      <c r="M110" s="20" t="s">
        <v>198</v>
      </c>
      <c r="N110" s="3" t="s">
        <v>348</v>
      </c>
      <c r="O110" s="11" t="s">
        <v>25</v>
      </c>
      <c r="P110" s="52"/>
      <c r="Q110" s="20" t="s">
        <v>198</v>
      </c>
      <c r="R110" s="3" t="s">
        <v>348</v>
      </c>
      <c r="S110" s="11" t="s">
        <v>25</v>
      </c>
      <c r="T110" s="52"/>
      <c r="U110" s="20" t="s">
        <v>198</v>
      </c>
      <c r="V110" s="5" t="s">
        <v>348</v>
      </c>
      <c r="W110" s="66" t="s">
        <v>25</v>
      </c>
      <c r="X110" s="67"/>
      <c r="Y110" s="20" t="s">
        <v>198</v>
      </c>
      <c r="Z110" s="3" t="s">
        <v>348</v>
      </c>
      <c r="AA110" s="11" t="s">
        <v>25</v>
      </c>
      <c r="AB110" s="52"/>
      <c r="AC110" s="20" t="s">
        <v>198</v>
      </c>
      <c r="AD110" s="5" t="s">
        <v>348</v>
      </c>
      <c r="AE110" s="66" t="s">
        <v>25</v>
      </c>
      <c r="AF110" s="67"/>
      <c r="AG110" s="20" t="s">
        <v>198</v>
      </c>
      <c r="AH110" s="3" t="s">
        <v>348</v>
      </c>
      <c r="AI110" s="11" t="s">
        <v>25</v>
      </c>
      <c r="AJ110" s="52"/>
      <c r="AK110" s="20" t="s">
        <v>198</v>
      </c>
      <c r="AL110" s="5" t="s">
        <v>348</v>
      </c>
      <c r="AM110" s="66" t="s">
        <v>25</v>
      </c>
      <c r="AN110" s="67"/>
      <c r="AO110" s="20" t="s">
        <v>198</v>
      </c>
      <c r="AP110" s="3" t="s">
        <v>348</v>
      </c>
      <c r="AQ110" s="11" t="s">
        <v>25</v>
      </c>
      <c r="AR110" s="52"/>
      <c r="AS110" s="20" t="s">
        <v>198</v>
      </c>
      <c r="AT110" s="5" t="s">
        <v>211</v>
      </c>
      <c r="AU110" s="66" t="s">
        <v>25</v>
      </c>
      <c r="AV110" s="67"/>
      <c r="AW110" s="20" t="s">
        <v>198</v>
      </c>
      <c r="AX110" s="3" t="s">
        <v>348</v>
      </c>
      <c r="AY110" s="11" t="s">
        <v>25</v>
      </c>
      <c r="AZ110" s="52"/>
      <c r="BA110" s="20" t="s">
        <v>198</v>
      </c>
      <c r="BB110" s="3" t="s">
        <v>211</v>
      </c>
      <c r="BC110" s="11" t="s">
        <v>25</v>
      </c>
      <c r="BD110" s="67"/>
      <c r="BE110" s="20" t="s">
        <v>198</v>
      </c>
      <c r="BF110" s="5" t="s">
        <v>348</v>
      </c>
      <c r="BG110" s="66" t="s">
        <v>25</v>
      </c>
      <c r="BH110" s="67"/>
      <c r="BI110" s="20" t="s">
        <v>198</v>
      </c>
      <c r="BJ110" s="3" t="s">
        <v>348</v>
      </c>
      <c r="BK110" s="11" t="s">
        <v>25</v>
      </c>
      <c r="BL110" s="52"/>
      <c r="BM110" s="20" t="s">
        <v>198</v>
      </c>
      <c r="BN110" s="3" t="s">
        <v>348</v>
      </c>
      <c r="BO110" s="11" t="s">
        <v>25</v>
      </c>
      <c r="BP110" s="52"/>
      <c r="BQ110" s="20" t="s">
        <v>198</v>
      </c>
      <c r="BR110" s="3" t="s">
        <v>348</v>
      </c>
      <c r="BS110" s="11" t="s">
        <v>25</v>
      </c>
      <c r="BT110" s="154"/>
      <c r="BU110" s="20" t="s">
        <v>198</v>
      </c>
      <c r="BV110" s="3" t="s">
        <v>348</v>
      </c>
      <c r="BW110" s="11" t="s">
        <v>25</v>
      </c>
      <c r="BX110" s="52"/>
      <c r="BY110" s="253"/>
      <c r="BZ110" s="20" t="s">
        <v>198</v>
      </c>
      <c r="CA110" s="3" t="s">
        <v>348</v>
      </c>
      <c r="CB110" s="11" t="s">
        <v>25</v>
      </c>
      <c r="CC110" s="52"/>
    </row>
    <row r="111" spans="1:81" ht="15" customHeight="1" hidden="1">
      <c r="A111" s="20"/>
      <c r="B111" s="3"/>
      <c r="C111" s="11"/>
      <c r="D111" s="153"/>
      <c r="E111" s="68" t="e">
        <f>#REF!+#REF!+#REF!+#REF!+#REF!+#REF!+#REF!+#REF!+#REF!+#REF!+#REF!+#REF!+#REF!+#REF!+#REF!+#REF!+#REF!+#REF!</f>
        <v>#REF!</v>
      </c>
      <c r="F111" s="77" t="e">
        <f>#REF!+#REF!+#REF!+#REF!+#REF!+#REF!+#REF!+#REF!+#REF!+#REF!+#REF!+#REF!+#REF!+#REF!+#REF!+#REF!+#REF!+#REF!</f>
        <v>#REF!</v>
      </c>
      <c r="G111" s="259"/>
      <c r="I111" s="20"/>
      <c r="J111" s="3"/>
      <c r="K111" s="11"/>
      <c r="L111" s="52"/>
      <c r="M111" s="20"/>
      <c r="N111" s="3"/>
      <c r="O111" s="11"/>
      <c r="P111" s="52"/>
      <c r="Q111" s="20"/>
      <c r="R111" s="3"/>
      <c r="S111" s="11"/>
      <c r="T111" s="52"/>
      <c r="U111" s="20"/>
      <c r="V111" s="5"/>
      <c r="W111" s="66"/>
      <c r="X111" s="67"/>
      <c r="Y111" s="20"/>
      <c r="Z111" s="3"/>
      <c r="AA111" s="11"/>
      <c r="AB111" s="52"/>
      <c r="AC111" s="20"/>
      <c r="AD111" s="5"/>
      <c r="AE111" s="66"/>
      <c r="AF111" s="67"/>
      <c r="AG111" s="20"/>
      <c r="AH111" s="3"/>
      <c r="AI111" s="11"/>
      <c r="AJ111" s="52"/>
      <c r="AK111" s="20"/>
      <c r="AL111" s="5"/>
      <c r="AM111" s="66"/>
      <c r="AN111" s="67"/>
      <c r="AO111" s="20"/>
      <c r="AP111" s="3"/>
      <c r="AQ111" s="11"/>
      <c r="AR111" s="52"/>
      <c r="AS111" s="20"/>
      <c r="AT111" s="5"/>
      <c r="AU111" s="66"/>
      <c r="AV111" s="67"/>
      <c r="AW111" s="20"/>
      <c r="AX111" s="3"/>
      <c r="AY111" s="11"/>
      <c r="AZ111" s="52"/>
      <c r="BA111" s="20"/>
      <c r="BB111" s="3"/>
      <c r="BC111" s="11"/>
      <c r="BD111" s="67"/>
      <c r="BE111" s="20"/>
      <c r="BF111" s="5"/>
      <c r="BG111" s="66"/>
      <c r="BH111" s="67"/>
      <c r="BI111" s="20"/>
      <c r="BJ111" s="3"/>
      <c r="BK111" s="11"/>
      <c r="BL111" s="52"/>
      <c r="BM111" s="20"/>
      <c r="BN111" s="3"/>
      <c r="BO111" s="11"/>
      <c r="BP111" s="52"/>
      <c r="BQ111" s="20"/>
      <c r="BR111" s="3"/>
      <c r="BS111" s="11"/>
      <c r="BT111" s="154"/>
      <c r="BU111" s="20"/>
      <c r="BV111" s="3"/>
      <c r="BW111" s="11"/>
      <c r="BX111" s="52"/>
      <c r="BY111" s="253"/>
      <c r="BZ111" s="20"/>
      <c r="CA111" s="3"/>
      <c r="CB111" s="11"/>
      <c r="CC111" s="52"/>
    </row>
    <row r="112" spans="1:81" ht="12.75">
      <c r="A112" s="20" t="s">
        <v>359</v>
      </c>
      <c r="B112" s="3" t="s">
        <v>30</v>
      </c>
      <c r="C112" s="11" t="s">
        <v>25</v>
      </c>
      <c r="D112" s="153"/>
      <c r="E112" s="68" t="e">
        <f>#REF!+#REF!+#REF!+#REF!+#REF!+#REF!+#REF!+#REF!+#REF!+#REF!+#REF!+#REF!+#REF!+#REF!+#REF!+#REF!+#REF!+#REF!</f>
        <v>#REF!</v>
      </c>
      <c r="F112" s="77" t="e">
        <f>#REF!+#REF!+#REF!+#REF!+#REF!+#REF!+#REF!+#REF!+#REF!+#REF!+#REF!+#REF!+#REF!+#REF!+#REF!+#REF!+#REF!+#REF!</f>
        <v>#REF!</v>
      </c>
      <c r="G112" s="259"/>
      <c r="I112" s="20" t="s">
        <v>359</v>
      </c>
      <c r="J112" s="3" t="s">
        <v>30</v>
      </c>
      <c r="K112" s="11" t="s">
        <v>25</v>
      </c>
      <c r="L112" s="52"/>
      <c r="M112" s="20" t="s">
        <v>359</v>
      </c>
      <c r="N112" s="3" t="s">
        <v>30</v>
      </c>
      <c r="O112" s="11" t="s">
        <v>25</v>
      </c>
      <c r="P112" s="52"/>
      <c r="Q112" s="20" t="s">
        <v>359</v>
      </c>
      <c r="R112" s="3" t="s">
        <v>30</v>
      </c>
      <c r="S112" s="11" t="s">
        <v>25</v>
      </c>
      <c r="T112" s="52"/>
      <c r="U112" s="20" t="s">
        <v>359</v>
      </c>
      <c r="V112" s="3" t="s">
        <v>30</v>
      </c>
      <c r="W112" s="11" t="s">
        <v>25</v>
      </c>
      <c r="X112" s="52"/>
      <c r="Y112" s="20" t="s">
        <v>359</v>
      </c>
      <c r="Z112" s="3" t="s">
        <v>30</v>
      </c>
      <c r="AA112" s="11" t="s">
        <v>25</v>
      </c>
      <c r="AB112" s="52"/>
      <c r="AC112" s="20" t="s">
        <v>359</v>
      </c>
      <c r="AD112" s="3" t="s">
        <v>30</v>
      </c>
      <c r="AE112" s="11" t="s">
        <v>25</v>
      </c>
      <c r="AF112" s="52"/>
      <c r="AG112" s="20" t="s">
        <v>359</v>
      </c>
      <c r="AH112" s="3" t="s">
        <v>30</v>
      </c>
      <c r="AI112" s="11" t="s">
        <v>25</v>
      </c>
      <c r="AJ112" s="52"/>
      <c r="AK112" s="20" t="s">
        <v>359</v>
      </c>
      <c r="AL112" s="3" t="s">
        <v>30</v>
      </c>
      <c r="AM112" s="11" t="s">
        <v>25</v>
      </c>
      <c r="AN112" s="52"/>
      <c r="AO112" s="20" t="s">
        <v>359</v>
      </c>
      <c r="AP112" s="3" t="s">
        <v>30</v>
      </c>
      <c r="AQ112" s="11" t="s">
        <v>25</v>
      </c>
      <c r="AR112" s="52"/>
      <c r="AS112" s="20" t="s">
        <v>359</v>
      </c>
      <c r="AT112" s="3" t="s">
        <v>30</v>
      </c>
      <c r="AU112" s="11" t="s">
        <v>25</v>
      </c>
      <c r="AV112" s="52"/>
      <c r="AW112" s="20" t="s">
        <v>359</v>
      </c>
      <c r="AX112" s="3" t="s">
        <v>30</v>
      </c>
      <c r="AY112" s="11" t="s">
        <v>25</v>
      </c>
      <c r="AZ112" s="52"/>
      <c r="BA112" s="20" t="s">
        <v>359</v>
      </c>
      <c r="BB112" s="3" t="s">
        <v>30</v>
      </c>
      <c r="BC112" s="11" t="s">
        <v>25</v>
      </c>
      <c r="BD112" s="52"/>
      <c r="BE112" s="20" t="s">
        <v>359</v>
      </c>
      <c r="BF112" s="3" t="s">
        <v>30</v>
      </c>
      <c r="BG112" s="11" t="s">
        <v>25</v>
      </c>
      <c r="BH112" s="52"/>
      <c r="BI112" s="20" t="s">
        <v>359</v>
      </c>
      <c r="BJ112" s="3" t="s">
        <v>30</v>
      </c>
      <c r="BK112" s="11" t="s">
        <v>25</v>
      </c>
      <c r="BL112" s="52"/>
      <c r="BM112" s="20" t="s">
        <v>359</v>
      </c>
      <c r="BN112" s="3" t="s">
        <v>30</v>
      </c>
      <c r="BO112" s="11" t="s">
        <v>25</v>
      </c>
      <c r="BP112" s="52"/>
      <c r="BQ112" s="20" t="s">
        <v>359</v>
      </c>
      <c r="BR112" s="3" t="s">
        <v>30</v>
      </c>
      <c r="BS112" s="11" t="s">
        <v>25</v>
      </c>
      <c r="BT112" s="154"/>
      <c r="BU112" s="20" t="s">
        <v>359</v>
      </c>
      <c r="BV112" s="3" t="s">
        <v>30</v>
      </c>
      <c r="BW112" s="11" t="s">
        <v>25</v>
      </c>
      <c r="BX112" s="52"/>
      <c r="BY112" s="253"/>
      <c r="BZ112" s="20" t="s">
        <v>359</v>
      </c>
      <c r="CA112" s="3" t="s">
        <v>30</v>
      </c>
      <c r="CB112" s="11" t="s">
        <v>25</v>
      </c>
      <c r="CC112" s="52"/>
    </row>
    <row r="113" spans="1:81" ht="15.75">
      <c r="A113" s="39"/>
      <c r="B113" s="103" t="s">
        <v>216</v>
      </c>
      <c r="C113" s="43"/>
      <c r="D113" s="40"/>
      <c r="E113" s="264"/>
      <c r="F113" s="106" t="e">
        <f>SUM(F105:F112)</f>
        <v>#REF!</v>
      </c>
      <c r="G113" s="263"/>
      <c r="I113" s="39"/>
      <c r="J113" s="41" t="s">
        <v>216</v>
      </c>
      <c r="K113" s="43"/>
      <c r="L113" s="160"/>
      <c r="M113" s="39"/>
      <c r="N113" s="41" t="s">
        <v>216</v>
      </c>
      <c r="O113" s="43"/>
      <c r="P113" s="160"/>
      <c r="Q113" s="39"/>
      <c r="R113" s="41" t="s">
        <v>216</v>
      </c>
      <c r="S113" s="43"/>
      <c r="T113" s="40"/>
      <c r="U113" s="39"/>
      <c r="V113" s="41" t="s">
        <v>216</v>
      </c>
      <c r="W113" s="43"/>
      <c r="X113" s="40"/>
      <c r="Y113" s="39"/>
      <c r="Z113" s="41" t="s">
        <v>216</v>
      </c>
      <c r="AA113" s="43"/>
      <c r="AB113" s="40"/>
      <c r="AC113" s="39"/>
      <c r="AD113" s="41" t="s">
        <v>216</v>
      </c>
      <c r="AE113" s="43"/>
      <c r="AF113" s="40"/>
      <c r="AG113" s="39"/>
      <c r="AH113" s="41" t="s">
        <v>216</v>
      </c>
      <c r="AI113" s="43"/>
      <c r="AJ113" s="40"/>
      <c r="AK113" s="39"/>
      <c r="AL113" s="41" t="s">
        <v>216</v>
      </c>
      <c r="AM113" s="43"/>
      <c r="AN113" s="40"/>
      <c r="AO113" s="39"/>
      <c r="AP113" s="41" t="s">
        <v>216</v>
      </c>
      <c r="AQ113" s="43"/>
      <c r="AR113" s="40"/>
      <c r="AS113" s="39"/>
      <c r="AT113" s="41" t="s">
        <v>216</v>
      </c>
      <c r="AU113" s="43"/>
      <c r="AV113" s="40"/>
      <c r="AW113" s="39"/>
      <c r="AX113" s="41" t="s">
        <v>216</v>
      </c>
      <c r="AY113" s="43"/>
      <c r="AZ113" s="40"/>
      <c r="BA113" s="39"/>
      <c r="BB113" s="41" t="s">
        <v>216</v>
      </c>
      <c r="BC113" s="43"/>
      <c r="BD113" s="40"/>
      <c r="BE113" s="39"/>
      <c r="BF113" s="41" t="s">
        <v>216</v>
      </c>
      <c r="BG113" s="43"/>
      <c r="BH113" s="40"/>
      <c r="BI113" s="39"/>
      <c r="BJ113" s="41" t="s">
        <v>216</v>
      </c>
      <c r="BK113" s="43"/>
      <c r="BL113" s="40"/>
      <c r="BM113" s="39"/>
      <c r="BN113" s="41" t="s">
        <v>216</v>
      </c>
      <c r="BO113" s="43"/>
      <c r="BP113" s="40"/>
      <c r="BQ113" s="39"/>
      <c r="BR113" s="41" t="s">
        <v>216</v>
      </c>
      <c r="BS113" s="43"/>
      <c r="BT113" s="40"/>
      <c r="BU113" s="39"/>
      <c r="BV113" s="41" t="s">
        <v>216</v>
      </c>
      <c r="BW113" s="43"/>
      <c r="BX113" s="40"/>
      <c r="BY113" s="247"/>
      <c r="BZ113" s="39"/>
      <c r="CA113" s="41" t="s">
        <v>216</v>
      </c>
      <c r="CB113" s="43"/>
      <c r="CC113" s="40"/>
    </row>
    <row r="114" spans="1:81" s="235" customFormat="1" ht="18.75">
      <c r="A114" s="397" t="s">
        <v>410</v>
      </c>
      <c r="B114" s="372" t="s">
        <v>32</v>
      </c>
      <c r="C114" s="398"/>
      <c r="D114" s="231"/>
      <c r="E114" s="227"/>
      <c r="F114" s="241"/>
      <c r="G114" s="444"/>
      <c r="I114" s="397" t="s">
        <v>410</v>
      </c>
      <c r="J114" s="372" t="s">
        <v>32</v>
      </c>
      <c r="K114" s="398"/>
      <c r="L114" s="402"/>
      <c r="M114" s="397" t="s">
        <v>410</v>
      </c>
      <c r="N114" s="372" t="s">
        <v>32</v>
      </c>
      <c r="O114" s="398"/>
      <c r="P114" s="402"/>
      <c r="Q114" s="397" t="s">
        <v>410</v>
      </c>
      <c r="R114" s="372" t="s">
        <v>32</v>
      </c>
      <c r="S114" s="398"/>
      <c r="T114" s="231"/>
      <c r="U114" s="397" t="s">
        <v>410</v>
      </c>
      <c r="V114" s="372" t="s">
        <v>32</v>
      </c>
      <c r="W114" s="398"/>
      <c r="X114" s="231"/>
      <c r="Y114" s="397" t="s">
        <v>410</v>
      </c>
      <c r="Z114" s="372" t="s">
        <v>32</v>
      </c>
      <c r="AA114" s="398"/>
      <c r="AB114" s="231"/>
      <c r="AC114" s="397" t="s">
        <v>410</v>
      </c>
      <c r="AD114" s="372" t="s">
        <v>32</v>
      </c>
      <c r="AE114" s="398"/>
      <c r="AF114" s="231"/>
      <c r="AG114" s="397" t="s">
        <v>410</v>
      </c>
      <c r="AH114" s="372" t="s">
        <v>32</v>
      </c>
      <c r="AI114" s="398"/>
      <c r="AJ114" s="231"/>
      <c r="AK114" s="397" t="s">
        <v>410</v>
      </c>
      <c r="AL114" s="372" t="s">
        <v>32</v>
      </c>
      <c r="AM114" s="398"/>
      <c r="AN114" s="231"/>
      <c r="AO114" s="397" t="s">
        <v>410</v>
      </c>
      <c r="AP114" s="372" t="s">
        <v>32</v>
      </c>
      <c r="AQ114" s="398"/>
      <c r="AR114" s="231"/>
      <c r="AS114" s="397" t="s">
        <v>410</v>
      </c>
      <c r="AT114" s="372" t="s">
        <v>32</v>
      </c>
      <c r="AU114" s="398"/>
      <c r="AV114" s="231"/>
      <c r="AW114" s="397" t="s">
        <v>410</v>
      </c>
      <c r="AX114" s="372" t="s">
        <v>32</v>
      </c>
      <c r="AY114" s="398"/>
      <c r="AZ114" s="231"/>
      <c r="BA114" s="397" t="s">
        <v>410</v>
      </c>
      <c r="BB114" s="372" t="s">
        <v>32</v>
      </c>
      <c r="BC114" s="398"/>
      <c r="BD114" s="231"/>
      <c r="BE114" s="397" t="s">
        <v>410</v>
      </c>
      <c r="BF114" s="372" t="s">
        <v>32</v>
      </c>
      <c r="BG114" s="398"/>
      <c r="BH114" s="231"/>
      <c r="BI114" s="397" t="s">
        <v>410</v>
      </c>
      <c r="BJ114" s="372" t="s">
        <v>32</v>
      </c>
      <c r="BK114" s="398"/>
      <c r="BL114" s="231"/>
      <c r="BM114" s="397" t="s">
        <v>410</v>
      </c>
      <c r="BN114" s="372" t="s">
        <v>32</v>
      </c>
      <c r="BO114" s="398"/>
      <c r="BP114" s="231"/>
      <c r="BQ114" s="397" t="s">
        <v>410</v>
      </c>
      <c r="BR114" s="372" t="s">
        <v>32</v>
      </c>
      <c r="BS114" s="398"/>
      <c r="BT114" s="231"/>
      <c r="BU114" s="397" t="s">
        <v>410</v>
      </c>
      <c r="BV114" s="372" t="s">
        <v>32</v>
      </c>
      <c r="BW114" s="398"/>
      <c r="BX114" s="231"/>
      <c r="BY114" s="227"/>
      <c r="BZ114" s="397" t="s">
        <v>410</v>
      </c>
      <c r="CA114" s="372" t="s">
        <v>32</v>
      </c>
      <c r="CB114" s="398"/>
      <c r="CC114" s="231"/>
    </row>
    <row r="115" spans="1:81" s="453" customFormat="1" ht="18.75">
      <c r="A115" s="448" t="s">
        <v>221</v>
      </c>
      <c r="B115" s="527" t="s">
        <v>155</v>
      </c>
      <c r="C115" s="449" t="s">
        <v>28</v>
      </c>
      <c r="D115" s="532">
        <f>D116+D117</f>
        <v>2.2592361999999997</v>
      </c>
      <c r="E115" s="532" t="e">
        <f>E116+E117</f>
        <v>#REF!</v>
      </c>
      <c r="F115" s="531" t="e">
        <f>F116+F117</f>
        <v>#REF!</v>
      </c>
      <c r="G115" s="530" t="e">
        <f>E115/D115*100</f>
        <v>#REF!</v>
      </c>
      <c r="H115" s="453" t="e">
        <f>F115/E115</f>
        <v>#REF!</v>
      </c>
      <c r="I115" s="448" t="s">
        <v>221</v>
      </c>
      <c r="J115" s="527" t="s">
        <v>155</v>
      </c>
      <c r="K115" s="449" t="s">
        <v>28</v>
      </c>
      <c r="L115" s="532">
        <f>L116+L117</f>
        <v>0.18359999999999999</v>
      </c>
      <c r="M115" s="448" t="s">
        <v>221</v>
      </c>
      <c r="N115" s="527" t="s">
        <v>155</v>
      </c>
      <c r="O115" s="449" t="s">
        <v>28</v>
      </c>
      <c r="P115" s="532">
        <f>P116+P117</f>
        <v>0.33599999999999997</v>
      </c>
      <c r="Q115" s="448" t="s">
        <v>221</v>
      </c>
      <c r="R115" s="527" t="s">
        <v>155</v>
      </c>
      <c r="S115" s="449" t="s">
        <v>28</v>
      </c>
      <c r="T115" s="532">
        <f>T116+T117</f>
        <v>0.025</v>
      </c>
      <c r="U115" s="448" t="s">
        <v>221</v>
      </c>
      <c r="V115" s="527" t="s">
        <v>155</v>
      </c>
      <c r="W115" s="449" t="s">
        <v>28</v>
      </c>
      <c r="X115" s="532">
        <f>X116+X117</f>
        <v>0.1227</v>
      </c>
      <c r="Y115" s="448" t="s">
        <v>221</v>
      </c>
      <c r="Z115" s="527" t="s">
        <v>155</v>
      </c>
      <c r="AA115" s="449" t="s">
        <v>28</v>
      </c>
      <c r="AB115" s="532">
        <f>AB116+AB117</f>
        <v>0</v>
      </c>
      <c r="AC115" s="448" t="s">
        <v>221</v>
      </c>
      <c r="AD115" s="527" t="s">
        <v>155</v>
      </c>
      <c r="AE115" s="449" t="s">
        <v>28</v>
      </c>
      <c r="AF115" s="532">
        <f>AF116+AF117</f>
        <v>0.037</v>
      </c>
      <c r="AG115" s="448" t="s">
        <v>221</v>
      </c>
      <c r="AH115" s="527" t="s">
        <v>155</v>
      </c>
      <c r="AI115" s="449" t="s">
        <v>28</v>
      </c>
      <c r="AJ115" s="532">
        <f>AJ116+AJ117</f>
        <v>0</v>
      </c>
      <c r="AK115" s="448" t="s">
        <v>221</v>
      </c>
      <c r="AL115" s="527" t="s">
        <v>155</v>
      </c>
      <c r="AM115" s="449" t="s">
        <v>28</v>
      </c>
      <c r="AN115" s="532">
        <f>AN116+AN117</f>
        <v>0.24516</v>
      </c>
      <c r="AO115" s="448" t="s">
        <v>221</v>
      </c>
      <c r="AP115" s="527" t="s">
        <v>155</v>
      </c>
      <c r="AQ115" s="449" t="s">
        <v>28</v>
      </c>
      <c r="AR115" s="532">
        <f>AR116+AR117</f>
        <v>0.23</v>
      </c>
      <c r="AS115" s="448" t="s">
        <v>221</v>
      </c>
      <c r="AT115" s="527" t="s">
        <v>155</v>
      </c>
      <c r="AU115" s="449" t="s">
        <v>28</v>
      </c>
      <c r="AV115" s="532">
        <f>AV116+AV117</f>
        <v>0.25917619999999997</v>
      </c>
      <c r="AW115" s="448" t="s">
        <v>221</v>
      </c>
      <c r="AX115" s="527" t="s">
        <v>155</v>
      </c>
      <c r="AY115" s="449" t="s">
        <v>28</v>
      </c>
      <c r="AZ115" s="532">
        <f>AZ116+AZ117</f>
        <v>0.295</v>
      </c>
      <c r="BA115" s="448" t="s">
        <v>221</v>
      </c>
      <c r="BB115" s="527" t="s">
        <v>155</v>
      </c>
      <c r="BC115" s="449" t="s">
        <v>28</v>
      </c>
      <c r="BD115" s="532">
        <f>BD116+BD117</f>
        <v>0.09</v>
      </c>
      <c r="BE115" s="448" t="s">
        <v>221</v>
      </c>
      <c r="BF115" s="527" t="s">
        <v>155</v>
      </c>
      <c r="BG115" s="449" t="s">
        <v>28</v>
      </c>
      <c r="BH115" s="532">
        <f>BH116+BH117</f>
        <v>0.075</v>
      </c>
      <c r="BI115" s="448" t="s">
        <v>221</v>
      </c>
      <c r="BJ115" s="527" t="s">
        <v>155</v>
      </c>
      <c r="BK115" s="449" t="s">
        <v>28</v>
      </c>
      <c r="BL115" s="532">
        <f>BL116+BL117</f>
        <v>0.065</v>
      </c>
      <c r="BM115" s="448" t="s">
        <v>221</v>
      </c>
      <c r="BN115" s="527" t="s">
        <v>155</v>
      </c>
      <c r="BO115" s="449" t="s">
        <v>28</v>
      </c>
      <c r="BP115" s="532">
        <f>BP116+BP117</f>
        <v>0.1428</v>
      </c>
      <c r="BQ115" s="448" t="s">
        <v>221</v>
      </c>
      <c r="BR115" s="527" t="s">
        <v>155</v>
      </c>
      <c r="BS115" s="449" t="s">
        <v>28</v>
      </c>
      <c r="BT115" s="532">
        <f>BT116+BT117</f>
        <v>0.09</v>
      </c>
      <c r="BU115" s="448" t="s">
        <v>221</v>
      </c>
      <c r="BV115" s="527" t="s">
        <v>155</v>
      </c>
      <c r="BW115" s="449" t="s">
        <v>28</v>
      </c>
      <c r="BX115" s="532">
        <f>BX116+BX117</f>
        <v>0.0628</v>
      </c>
      <c r="BY115" s="455" t="e">
        <f>#REF!/BX115*100</f>
        <v>#REF!</v>
      </c>
      <c r="BZ115" s="448" t="s">
        <v>221</v>
      </c>
      <c r="CA115" s="527" t="s">
        <v>155</v>
      </c>
      <c r="CB115" s="449" t="s">
        <v>28</v>
      </c>
      <c r="CC115" s="532"/>
    </row>
    <row r="116" spans="1:81" ht="12.75">
      <c r="A116" s="20" t="s">
        <v>81</v>
      </c>
      <c r="B116" s="3" t="s">
        <v>349</v>
      </c>
      <c r="C116" s="11" t="s">
        <v>28</v>
      </c>
      <c r="D116" s="60">
        <f aca="true" t="shared" si="4" ref="D116:D122">L116+P116+T116+X116+AB116+AF116+AJ116+AN116+AR116+AV116+AZ116+BD116+BH116+BL116+BP116+BT116+BX116+CC116</f>
        <v>2.2592361999999997</v>
      </c>
      <c r="E116" s="68" t="e">
        <f>#REF!+#REF!+#REF!+#REF!+#REF!+#REF!+#REF!+#REF!+#REF!+#REF!+#REF!+#REF!+#REF!+#REF!+#REF!+#REF!+#REF!+#REF!</f>
        <v>#REF!</v>
      </c>
      <c r="F116" s="77" t="e">
        <f>#REF!+#REF!+#REF!+#REF!+#REF!+#REF!+#REF!+#REF!+#REF!+#REF!+#REF!+#REF!+#REF!+#REF!+#REF!+#REF!+#REF!+#REF!</f>
        <v>#REF!</v>
      </c>
      <c r="G116" s="259"/>
      <c r="I116" s="20" t="s">
        <v>81</v>
      </c>
      <c r="J116" s="3" t="s">
        <v>349</v>
      </c>
      <c r="K116" s="11" t="s">
        <v>28</v>
      </c>
      <c r="L116" s="60">
        <f>0.055+0.1286</f>
        <v>0.18359999999999999</v>
      </c>
      <c r="M116" s="20" t="s">
        <v>81</v>
      </c>
      <c r="N116" s="3" t="s">
        <v>349</v>
      </c>
      <c r="O116" s="11" t="s">
        <v>28</v>
      </c>
      <c r="P116" s="60">
        <f>0.145+0.191</f>
        <v>0.33599999999999997</v>
      </c>
      <c r="Q116" s="20" t="s">
        <v>81</v>
      </c>
      <c r="R116" s="3" t="s">
        <v>349</v>
      </c>
      <c r="S116" s="11" t="s">
        <v>28</v>
      </c>
      <c r="T116" s="60">
        <f>0.025</f>
        <v>0.025</v>
      </c>
      <c r="U116" s="20" t="s">
        <v>81</v>
      </c>
      <c r="V116" s="3" t="s">
        <v>349</v>
      </c>
      <c r="W116" s="11" t="s">
        <v>28</v>
      </c>
      <c r="X116" s="60">
        <f>0.09+0.0327</f>
        <v>0.1227</v>
      </c>
      <c r="Y116" s="20" t="s">
        <v>81</v>
      </c>
      <c r="Z116" s="3" t="s">
        <v>349</v>
      </c>
      <c r="AA116" s="11" t="s">
        <v>28</v>
      </c>
      <c r="AB116" s="60"/>
      <c r="AC116" s="20" t="s">
        <v>81</v>
      </c>
      <c r="AD116" s="3" t="s">
        <v>349</v>
      </c>
      <c r="AE116" s="11" t="s">
        <v>28</v>
      </c>
      <c r="AF116" s="68">
        <f>0.01+0.027</f>
        <v>0.037</v>
      </c>
      <c r="AG116" s="20" t="s">
        <v>81</v>
      </c>
      <c r="AH116" s="3" t="s">
        <v>349</v>
      </c>
      <c r="AI116" s="11" t="s">
        <v>28</v>
      </c>
      <c r="AJ116" s="60"/>
      <c r="AK116" s="20" t="s">
        <v>81</v>
      </c>
      <c r="AL116" s="3" t="s">
        <v>349</v>
      </c>
      <c r="AM116" s="11" t="s">
        <v>28</v>
      </c>
      <c r="AN116" s="68">
        <f>0.13+0.11516</f>
        <v>0.24516</v>
      </c>
      <c r="AO116" s="20" t="s">
        <v>81</v>
      </c>
      <c r="AP116" s="3" t="s">
        <v>349</v>
      </c>
      <c r="AQ116" s="11" t="s">
        <v>28</v>
      </c>
      <c r="AR116" s="584">
        <f>0.23</f>
        <v>0.23</v>
      </c>
      <c r="AS116" s="20" t="s">
        <v>81</v>
      </c>
      <c r="AT116" s="3" t="s">
        <v>349</v>
      </c>
      <c r="AU116" s="11" t="s">
        <v>28</v>
      </c>
      <c r="AV116" s="68">
        <f>0.175+0.116-0.0318238</f>
        <v>0.25917619999999997</v>
      </c>
      <c r="AW116" s="20" t="s">
        <v>81</v>
      </c>
      <c r="AX116" s="3" t="s">
        <v>349</v>
      </c>
      <c r="AY116" s="11" t="s">
        <v>28</v>
      </c>
      <c r="AZ116" s="60">
        <f>0.12+0.175</f>
        <v>0.295</v>
      </c>
      <c r="BA116" s="20" t="s">
        <v>81</v>
      </c>
      <c r="BB116" s="3" t="s">
        <v>349</v>
      </c>
      <c r="BC116" s="11" t="s">
        <v>28</v>
      </c>
      <c r="BD116" s="60">
        <v>0.09</v>
      </c>
      <c r="BE116" s="20" t="s">
        <v>81</v>
      </c>
      <c r="BF116" s="3" t="s">
        <v>349</v>
      </c>
      <c r="BG116" s="11" t="s">
        <v>28</v>
      </c>
      <c r="BH116" s="68">
        <f>0.03+0.045</f>
        <v>0.075</v>
      </c>
      <c r="BI116" s="20" t="s">
        <v>81</v>
      </c>
      <c r="BJ116" s="3" t="s">
        <v>349</v>
      </c>
      <c r="BK116" s="11" t="s">
        <v>28</v>
      </c>
      <c r="BL116" s="60">
        <v>0.065</v>
      </c>
      <c r="BM116" s="20" t="s">
        <v>81</v>
      </c>
      <c r="BN116" s="3" t="s">
        <v>349</v>
      </c>
      <c r="BO116" s="11" t="s">
        <v>28</v>
      </c>
      <c r="BP116" s="60">
        <f>0.15+0.0246-0.0318</f>
        <v>0.1428</v>
      </c>
      <c r="BQ116" s="20" t="s">
        <v>81</v>
      </c>
      <c r="BR116" s="3" t="s">
        <v>349</v>
      </c>
      <c r="BS116" s="11" t="s">
        <v>28</v>
      </c>
      <c r="BT116" s="153">
        <v>0.09</v>
      </c>
      <c r="BU116" s="20" t="s">
        <v>81</v>
      </c>
      <c r="BV116" s="3" t="s">
        <v>349</v>
      </c>
      <c r="BW116" s="11" t="s">
        <v>28</v>
      </c>
      <c r="BX116" s="68">
        <f>0.02+0.0428</f>
        <v>0.0628</v>
      </c>
      <c r="BY116" s="256"/>
      <c r="BZ116" s="20" t="s">
        <v>81</v>
      </c>
      <c r="CA116" s="3" t="s">
        <v>349</v>
      </c>
      <c r="CB116" s="11" t="s">
        <v>28</v>
      </c>
      <c r="CC116" s="68"/>
    </row>
    <row r="117" spans="1:81" ht="12.75" hidden="1">
      <c r="A117" s="20" t="s">
        <v>82</v>
      </c>
      <c r="B117" s="3" t="s">
        <v>350</v>
      </c>
      <c r="C117" s="11" t="s">
        <v>28</v>
      </c>
      <c r="D117" s="60">
        <f t="shared" si="4"/>
        <v>0</v>
      </c>
      <c r="E117" s="68" t="e">
        <f>#REF!+#REF!+#REF!+#REF!+#REF!+#REF!+#REF!+#REF!+#REF!+#REF!+#REF!+#REF!+#REF!+#REF!+#REF!+#REF!+#REF!+#REF!</f>
        <v>#REF!</v>
      </c>
      <c r="F117" s="77" t="e">
        <f>#REF!+#REF!+#REF!+#REF!+#REF!+#REF!+#REF!+#REF!+#REF!+#REF!+#REF!+#REF!+#REF!+#REF!+#REF!+#REF!+#REF!+#REF!</f>
        <v>#REF!</v>
      </c>
      <c r="G117" s="259"/>
      <c r="I117" s="20" t="s">
        <v>82</v>
      </c>
      <c r="J117" s="3" t="s">
        <v>350</v>
      </c>
      <c r="K117" s="11" t="s">
        <v>28</v>
      </c>
      <c r="L117" s="60"/>
      <c r="M117" s="20" t="s">
        <v>82</v>
      </c>
      <c r="N117" s="3" t="s">
        <v>350</v>
      </c>
      <c r="O117" s="11" t="s">
        <v>28</v>
      </c>
      <c r="P117" s="60"/>
      <c r="Q117" s="20" t="s">
        <v>82</v>
      </c>
      <c r="R117" s="3" t="s">
        <v>350</v>
      </c>
      <c r="S117" s="11" t="s">
        <v>28</v>
      </c>
      <c r="T117" s="60"/>
      <c r="U117" s="20" t="s">
        <v>82</v>
      </c>
      <c r="V117" s="3" t="s">
        <v>350</v>
      </c>
      <c r="W117" s="11" t="s">
        <v>28</v>
      </c>
      <c r="X117" s="60"/>
      <c r="Y117" s="20" t="s">
        <v>82</v>
      </c>
      <c r="Z117" s="3" t="s">
        <v>350</v>
      </c>
      <c r="AA117" s="11" t="s">
        <v>28</v>
      </c>
      <c r="AB117" s="60"/>
      <c r="AC117" s="20" t="s">
        <v>82</v>
      </c>
      <c r="AD117" s="3" t="s">
        <v>350</v>
      </c>
      <c r="AE117" s="11" t="s">
        <v>28</v>
      </c>
      <c r="AF117" s="68"/>
      <c r="AG117" s="20" t="s">
        <v>82</v>
      </c>
      <c r="AH117" s="3" t="s">
        <v>350</v>
      </c>
      <c r="AI117" s="11" t="s">
        <v>28</v>
      </c>
      <c r="AJ117" s="60"/>
      <c r="AK117" s="20" t="s">
        <v>82</v>
      </c>
      <c r="AL117" s="3" t="s">
        <v>350</v>
      </c>
      <c r="AM117" s="11" t="s">
        <v>28</v>
      </c>
      <c r="AN117" s="68"/>
      <c r="AO117" s="20" t="s">
        <v>82</v>
      </c>
      <c r="AP117" s="3" t="s">
        <v>350</v>
      </c>
      <c r="AQ117" s="11" t="s">
        <v>28</v>
      </c>
      <c r="AR117" s="60"/>
      <c r="AS117" s="20" t="s">
        <v>82</v>
      </c>
      <c r="AT117" s="3" t="s">
        <v>350</v>
      </c>
      <c r="AU117" s="11" t="s">
        <v>28</v>
      </c>
      <c r="AV117" s="68"/>
      <c r="AW117" s="20" t="s">
        <v>82</v>
      </c>
      <c r="AX117" s="3" t="s">
        <v>350</v>
      </c>
      <c r="AY117" s="11" t="s">
        <v>28</v>
      </c>
      <c r="AZ117" s="60"/>
      <c r="BA117" s="20" t="s">
        <v>82</v>
      </c>
      <c r="BB117" s="3" t="s">
        <v>350</v>
      </c>
      <c r="BC117" s="11" t="s">
        <v>28</v>
      </c>
      <c r="BD117" s="60"/>
      <c r="BE117" s="20" t="s">
        <v>82</v>
      </c>
      <c r="BF117" s="3" t="s">
        <v>350</v>
      </c>
      <c r="BG117" s="11" t="s">
        <v>28</v>
      </c>
      <c r="BH117" s="68"/>
      <c r="BI117" s="20" t="s">
        <v>82</v>
      </c>
      <c r="BJ117" s="3" t="s">
        <v>350</v>
      </c>
      <c r="BK117" s="11" t="s">
        <v>28</v>
      </c>
      <c r="BL117" s="60"/>
      <c r="BM117" s="20" t="s">
        <v>82</v>
      </c>
      <c r="BN117" s="3" t="s">
        <v>350</v>
      </c>
      <c r="BO117" s="11" t="s">
        <v>28</v>
      </c>
      <c r="BP117" s="60"/>
      <c r="BQ117" s="20" t="s">
        <v>82</v>
      </c>
      <c r="BR117" s="3" t="s">
        <v>350</v>
      </c>
      <c r="BS117" s="11" t="s">
        <v>28</v>
      </c>
      <c r="BT117" s="153"/>
      <c r="BU117" s="20" t="s">
        <v>82</v>
      </c>
      <c r="BV117" s="3" t="s">
        <v>350</v>
      </c>
      <c r="BW117" s="11" t="s">
        <v>28</v>
      </c>
      <c r="BX117" s="68"/>
      <c r="BY117" s="256"/>
      <c r="BZ117" s="20" t="s">
        <v>82</v>
      </c>
      <c r="CA117" s="3" t="s">
        <v>350</v>
      </c>
      <c r="CB117" s="11" t="s">
        <v>28</v>
      </c>
      <c r="CC117" s="68"/>
    </row>
    <row r="118" spans="1:81" ht="12.75" hidden="1">
      <c r="A118" s="20" t="s">
        <v>83</v>
      </c>
      <c r="B118" s="3" t="s">
        <v>254</v>
      </c>
      <c r="C118" s="11" t="s">
        <v>20</v>
      </c>
      <c r="D118" s="52">
        <f t="shared" si="4"/>
        <v>0</v>
      </c>
      <c r="E118" s="68" t="e">
        <f>#REF!+#REF!+#REF!+#REF!+#REF!+#REF!+#REF!+#REF!+#REF!+#REF!+#REF!+#REF!+#REF!+#REF!+#REF!+#REF!+#REF!+#REF!</f>
        <v>#REF!</v>
      </c>
      <c r="F118" s="77" t="e">
        <f>#REF!+#REF!+#REF!+#REF!+#REF!+#REF!+#REF!+#REF!+#REF!+#REF!+#REF!+#REF!+#REF!+#REF!+#REF!+#REF!+#REF!+#REF!</f>
        <v>#REF!</v>
      </c>
      <c r="G118" s="259"/>
      <c r="I118" s="20" t="s">
        <v>83</v>
      </c>
      <c r="J118" s="3" t="s">
        <v>254</v>
      </c>
      <c r="K118" s="11" t="s">
        <v>20</v>
      </c>
      <c r="L118" s="52"/>
      <c r="M118" s="20" t="s">
        <v>83</v>
      </c>
      <c r="N118" s="3" t="s">
        <v>254</v>
      </c>
      <c r="O118" s="11" t="s">
        <v>20</v>
      </c>
      <c r="P118" s="52"/>
      <c r="Q118" s="20" t="s">
        <v>83</v>
      </c>
      <c r="R118" s="3" t="s">
        <v>254</v>
      </c>
      <c r="S118" s="11" t="s">
        <v>20</v>
      </c>
      <c r="T118" s="52"/>
      <c r="U118" s="20" t="s">
        <v>83</v>
      </c>
      <c r="V118" s="3" t="s">
        <v>254</v>
      </c>
      <c r="W118" s="11" t="s">
        <v>20</v>
      </c>
      <c r="X118" s="52"/>
      <c r="Y118" s="20" t="s">
        <v>83</v>
      </c>
      <c r="Z118" s="3" t="s">
        <v>254</v>
      </c>
      <c r="AA118" s="11" t="s">
        <v>20</v>
      </c>
      <c r="AB118" s="52"/>
      <c r="AC118" s="20" t="s">
        <v>83</v>
      </c>
      <c r="AD118" s="3" t="s">
        <v>254</v>
      </c>
      <c r="AE118" s="11" t="s">
        <v>20</v>
      </c>
      <c r="AF118" s="52"/>
      <c r="AG118" s="20" t="s">
        <v>83</v>
      </c>
      <c r="AH118" s="3" t="s">
        <v>254</v>
      </c>
      <c r="AI118" s="11" t="s">
        <v>20</v>
      </c>
      <c r="AJ118" s="52"/>
      <c r="AK118" s="20" t="s">
        <v>83</v>
      </c>
      <c r="AL118" s="3" t="s">
        <v>254</v>
      </c>
      <c r="AM118" s="11" t="s">
        <v>20</v>
      </c>
      <c r="AN118" s="52"/>
      <c r="AO118" s="20" t="s">
        <v>83</v>
      </c>
      <c r="AP118" s="3" t="s">
        <v>254</v>
      </c>
      <c r="AQ118" s="11" t="s">
        <v>20</v>
      </c>
      <c r="AR118" s="52"/>
      <c r="AS118" s="20" t="s">
        <v>83</v>
      </c>
      <c r="AT118" s="3" t="s">
        <v>254</v>
      </c>
      <c r="AU118" s="11" t="s">
        <v>20</v>
      </c>
      <c r="AV118" s="52"/>
      <c r="AW118" s="20" t="s">
        <v>83</v>
      </c>
      <c r="AX118" s="3" t="s">
        <v>254</v>
      </c>
      <c r="AY118" s="11" t="s">
        <v>20</v>
      </c>
      <c r="AZ118" s="52"/>
      <c r="BA118" s="20" t="s">
        <v>83</v>
      </c>
      <c r="BB118" s="3" t="s">
        <v>254</v>
      </c>
      <c r="BC118" s="11" t="s">
        <v>20</v>
      </c>
      <c r="BD118" s="52"/>
      <c r="BE118" s="20" t="s">
        <v>83</v>
      </c>
      <c r="BF118" s="3" t="s">
        <v>254</v>
      </c>
      <c r="BG118" s="11" t="s">
        <v>20</v>
      </c>
      <c r="BH118" s="52"/>
      <c r="BI118" s="20" t="s">
        <v>83</v>
      </c>
      <c r="BJ118" s="3" t="s">
        <v>254</v>
      </c>
      <c r="BK118" s="11" t="s">
        <v>20</v>
      </c>
      <c r="BL118" s="52"/>
      <c r="BM118" s="20" t="s">
        <v>83</v>
      </c>
      <c r="BN118" s="3" t="s">
        <v>254</v>
      </c>
      <c r="BO118" s="11" t="s">
        <v>20</v>
      </c>
      <c r="BP118" s="52"/>
      <c r="BQ118" s="20" t="s">
        <v>83</v>
      </c>
      <c r="BR118" s="3" t="s">
        <v>254</v>
      </c>
      <c r="BS118" s="11" t="s">
        <v>20</v>
      </c>
      <c r="BT118" s="154"/>
      <c r="BU118" s="20" t="s">
        <v>83</v>
      </c>
      <c r="BV118" s="3" t="s">
        <v>254</v>
      </c>
      <c r="BW118" s="11" t="s">
        <v>20</v>
      </c>
      <c r="BX118" s="52"/>
      <c r="BY118" s="253"/>
      <c r="BZ118" s="20" t="s">
        <v>83</v>
      </c>
      <c r="CA118" s="3" t="s">
        <v>254</v>
      </c>
      <c r="CB118" s="11" t="s">
        <v>20</v>
      </c>
      <c r="CC118" s="52"/>
    </row>
    <row r="119" spans="1:81" ht="12.75" hidden="1">
      <c r="A119" s="20" t="s">
        <v>84</v>
      </c>
      <c r="B119" s="3" t="s">
        <v>255</v>
      </c>
      <c r="C119" s="11" t="s">
        <v>10</v>
      </c>
      <c r="D119" s="52">
        <f t="shared" si="4"/>
        <v>0</v>
      </c>
      <c r="E119" s="68" t="e">
        <f>#REF!+#REF!+#REF!+#REF!+#REF!+#REF!+#REF!+#REF!+#REF!+#REF!+#REF!+#REF!+#REF!+#REF!+#REF!+#REF!+#REF!+#REF!</f>
        <v>#REF!</v>
      </c>
      <c r="F119" s="77" t="e">
        <f>#REF!+#REF!+#REF!+#REF!+#REF!+#REF!+#REF!+#REF!+#REF!+#REF!+#REF!+#REF!+#REF!+#REF!+#REF!+#REF!+#REF!+#REF!</f>
        <v>#REF!</v>
      </c>
      <c r="G119" s="259"/>
      <c r="I119" s="20" t="s">
        <v>84</v>
      </c>
      <c r="J119" s="3" t="s">
        <v>255</v>
      </c>
      <c r="K119" s="11" t="s">
        <v>10</v>
      </c>
      <c r="L119" s="52"/>
      <c r="M119" s="20" t="s">
        <v>84</v>
      </c>
      <c r="N119" s="3" t="s">
        <v>255</v>
      </c>
      <c r="O119" s="11" t="s">
        <v>10</v>
      </c>
      <c r="P119" s="52"/>
      <c r="Q119" s="20" t="s">
        <v>84</v>
      </c>
      <c r="R119" s="3" t="s">
        <v>255</v>
      </c>
      <c r="S119" s="11" t="s">
        <v>10</v>
      </c>
      <c r="T119" s="52"/>
      <c r="U119" s="20" t="s">
        <v>84</v>
      </c>
      <c r="V119" s="3" t="s">
        <v>255</v>
      </c>
      <c r="W119" s="11" t="s">
        <v>10</v>
      </c>
      <c r="X119" s="52"/>
      <c r="Y119" s="20" t="s">
        <v>84</v>
      </c>
      <c r="Z119" s="3" t="s">
        <v>255</v>
      </c>
      <c r="AA119" s="11" t="s">
        <v>10</v>
      </c>
      <c r="AB119" s="52"/>
      <c r="AC119" s="20" t="s">
        <v>84</v>
      </c>
      <c r="AD119" s="3" t="s">
        <v>255</v>
      </c>
      <c r="AE119" s="11" t="s">
        <v>10</v>
      </c>
      <c r="AF119" s="52"/>
      <c r="AG119" s="20" t="s">
        <v>84</v>
      </c>
      <c r="AH119" s="3" t="s">
        <v>255</v>
      </c>
      <c r="AI119" s="11" t="s">
        <v>10</v>
      </c>
      <c r="AJ119" s="52"/>
      <c r="AK119" s="20" t="s">
        <v>84</v>
      </c>
      <c r="AL119" s="3" t="s">
        <v>255</v>
      </c>
      <c r="AM119" s="11" t="s">
        <v>10</v>
      </c>
      <c r="AN119" s="52"/>
      <c r="AO119" s="20" t="s">
        <v>84</v>
      </c>
      <c r="AP119" s="3" t="s">
        <v>255</v>
      </c>
      <c r="AQ119" s="11" t="s">
        <v>10</v>
      </c>
      <c r="AR119" s="52"/>
      <c r="AS119" s="20" t="s">
        <v>84</v>
      </c>
      <c r="AT119" s="3" t="s">
        <v>255</v>
      </c>
      <c r="AU119" s="11" t="s">
        <v>10</v>
      </c>
      <c r="AV119" s="52"/>
      <c r="AW119" s="20" t="s">
        <v>84</v>
      </c>
      <c r="AX119" s="3" t="s">
        <v>255</v>
      </c>
      <c r="AY119" s="11" t="s">
        <v>10</v>
      </c>
      <c r="AZ119" s="52"/>
      <c r="BA119" s="20" t="s">
        <v>84</v>
      </c>
      <c r="BB119" s="3" t="s">
        <v>255</v>
      </c>
      <c r="BC119" s="11" t="s">
        <v>10</v>
      </c>
      <c r="BD119" s="52"/>
      <c r="BE119" s="20" t="s">
        <v>84</v>
      </c>
      <c r="BF119" s="3" t="s">
        <v>255</v>
      </c>
      <c r="BG119" s="11" t="s">
        <v>10</v>
      </c>
      <c r="BH119" s="52"/>
      <c r="BI119" s="20" t="s">
        <v>84</v>
      </c>
      <c r="BJ119" s="3" t="s">
        <v>255</v>
      </c>
      <c r="BK119" s="11" t="s">
        <v>10</v>
      </c>
      <c r="BL119" s="52"/>
      <c r="BM119" s="20" t="s">
        <v>84</v>
      </c>
      <c r="BN119" s="3" t="s">
        <v>255</v>
      </c>
      <c r="BO119" s="11" t="s">
        <v>10</v>
      </c>
      <c r="BP119" s="52"/>
      <c r="BQ119" s="20" t="s">
        <v>84</v>
      </c>
      <c r="BR119" s="3" t="s">
        <v>255</v>
      </c>
      <c r="BS119" s="11" t="s">
        <v>10</v>
      </c>
      <c r="BT119" s="154"/>
      <c r="BU119" s="20" t="s">
        <v>84</v>
      </c>
      <c r="BV119" s="3" t="s">
        <v>255</v>
      </c>
      <c r="BW119" s="11" t="s">
        <v>10</v>
      </c>
      <c r="BX119" s="52"/>
      <c r="BY119" s="253"/>
      <c r="BZ119" s="20" t="s">
        <v>84</v>
      </c>
      <c r="CA119" s="3" t="s">
        <v>255</v>
      </c>
      <c r="CB119" s="11" t="s">
        <v>10</v>
      </c>
      <c r="CC119" s="52"/>
    </row>
    <row r="120" spans="1:81" ht="12.75">
      <c r="A120" s="20" t="s">
        <v>85</v>
      </c>
      <c r="B120" s="3" t="s">
        <v>33</v>
      </c>
      <c r="C120" s="11" t="s">
        <v>11</v>
      </c>
      <c r="D120" s="52">
        <f t="shared" si="4"/>
        <v>18</v>
      </c>
      <c r="E120" s="68" t="e">
        <f>#REF!+#REF!+#REF!+#REF!+#REF!+#REF!+#REF!+#REF!+#REF!+#REF!+#REF!+#REF!+#REF!+#REF!+#REF!+#REF!+#REF!+#REF!</f>
        <v>#REF!</v>
      </c>
      <c r="F120" s="77" t="e">
        <f>#REF!+#REF!+#REF!+#REF!+#REF!+#REF!+#REF!+#REF!+#REF!+#REF!+#REF!+#REF!+#REF!+#REF!+#REF!+#REF!+#REF!+#REF!</f>
        <v>#REF!</v>
      </c>
      <c r="G120" s="259" t="e">
        <f>E120/D120*100</f>
        <v>#REF!</v>
      </c>
      <c r="H120" t="e">
        <f>F120/E120</f>
        <v>#REF!</v>
      </c>
      <c r="I120" s="20" t="s">
        <v>85</v>
      </c>
      <c r="J120" s="3" t="s">
        <v>33</v>
      </c>
      <c r="K120" s="11" t="s">
        <v>11</v>
      </c>
      <c r="L120" s="52">
        <v>1</v>
      </c>
      <c r="M120" s="20" t="s">
        <v>85</v>
      </c>
      <c r="N120" s="3" t="s">
        <v>33</v>
      </c>
      <c r="O120" s="11" t="s">
        <v>11</v>
      </c>
      <c r="P120" s="52">
        <v>1</v>
      </c>
      <c r="Q120" s="20" t="s">
        <v>85</v>
      </c>
      <c r="R120" s="3" t="s">
        <v>33</v>
      </c>
      <c r="S120" s="11" t="s">
        <v>11</v>
      </c>
      <c r="T120" s="52">
        <v>1</v>
      </c>
      <c r="U120" s="20" t="s">
        <v>85</v>
      </c>
      <c r="V120" s="3" t="s">
        <v>33</v>
      </c>
      <c r="W120" s="11" t="s">
        <v>11</v>
      </c>
      <c r="X120" s="52">
        <v>1</v>
      </c>
      <c r="Y120" s="20" t="s">
        <v>85</v>
      </c>
      <c r="Z120" s="3" t="s">
        <v>33</v>
      </c>
      <c r="AA120" s="11" t="s">
        <v>11</v>
      </c>
      <c r="AB120" s="52">
        <v>1</v>
      </c>
      <c r="AC120" s="20" t="s">
        <v>85</v>
      </c>
      <c r="AD120" s="3" t="s">
        <v>33</v>
      </c>
      <c r="AE120" s="11" t="s">
        <v>11</v>
      </c>
      <c r="AF120" s="52">
        <v>1</v>
      </c>
      <c r="AG120" s="20" t="s">
        <v>85</v>
      </c>
      <c r="AH120" s="3" t="s">
        <v>33</v>
      </c>
      <c r="AI120" s="11" t="s">
        <v>11</v>
      </c>
      <c r="AJ120" s="52">
        <v>1</v>
      </c>
      <c r="AK120" s="20" t="s">
        <v>85</v>
      </c>
      <c r="AL120" s="3" t="s">
        <v>33</v>
      </c>
      <c r="AM120" s="11" t="s">
        <v>11</v>
      </c>
      <c r="AN120" s="52">
        <v>1</v>
      </c>
      <c r="AO120" s="20" t="s">
        <v>85</v>
      </c>
      <c r="AP120" s="3" t="s">
        <v>33</v>
      </c>
      <c r="AQ120" s="11" t="s">
        <v>11</v>
      </c>
      <c r="AR120" s="52">
        <v>1</v>
      </c>
      <c r="AS120" s="20" t="s">
        <v>85</v>
      </c>
      <c r="AT120" s="3" t="s">
        <v>33</v>
      </c>
      <c r="AU120" s="11" t="s">
        <v>11</v>
      </c>
      <c r="AV120" s="52">
        <v>1</v>
      </c>
      <c r="AW120" s="20" t="s">
        <v>85</v>
      </c>
      <c r="AX120" s="3" t="s">
        <v>33</v>
      </c>
      <c r="AY120" s="11" t="s">
        <v>11</v>
      </c>
      <c r="AZ120" s="52">
        <v>1</v>
      </c>
      <c r="BA120" s="20" t="s">
        <v>85</v>
      </c>
      <c r="BB120" s="3" t="s">
        <v>33</v>
      </c>
      <c r="BC120" s="11" t="s">
        <v>11</v>
      </c>
      <c r="BD120" s="52">
        <v>1</v>
      </c>
      <c r="BE120" s="20" t="s">
        <v>85</v>
      </c>
      <c r="BF120" s="3" t="s">
        <v>33</v>
      </c>
      <c r="BG120" s="11" t="s">
        <v>11</v>
      </c>
      <c r="BH120" s="52">
        <v>1</v>
      </c>
      <c r="BI120" s="20" t="s">
        <v>85</v>
      </c>
      <c r="BJ120" s="3" t="s">
        <v>33</v>
      </c>
      <c r="BK120" s="11" t="s">
        <v>11</v>
      </c>
      <c r="BL120" s="52">
        <v>1</v>
      </c>
      <c r="BM120" s="20" t="s">
        <v>85</v>
      </c>
      <c r="BN120" s="3" t="s">
        <v>33</v>
      </c>
      <c r="BO120" s="11" t="s">
        <v>11</v>
      </c>
      <c r="BP120" s="52">
        <v>1</v>
      </c>
      <c r="BQ120" s="20" t="s">
        <v>85</v>
      </c>
      <c r="BR120" s="3" t="s">
        <v>33</v>
      </c>
      <c r="BS120" s="11" t="s">
        <v>11</v>
      </c>
      <c r="BT120" s="154">
        <v>1</v>
      </c>
      <c r="BU120" s="20" t="s">
        <v>85</v>
      </c>
      <c r="BV120" s="3" t="s">
        <v>33</v>
      </c>
      <c r="BW120" s="11" t="s">
        <v>11</v>
      </c>
      <c r="BX120" s="52">
        <v>1</v>
      </c>
      <c r="BY120" s="253" t="e">
        <f>#REF!/BX120*100</f>
        <v>#REF!</v>
      </c>
      <c r="BZ120" s="20" t="s">
        <v>85</v>
      </c>
      <c r="CA120" s="3" t="s">
        <v>33</v>
      </c>
      <c r="CB120" s="11" t="s">
        <v>11</v>
      </c>
      <c r="CC120" s="52">
        <v>1</v>
      </c>
    </row>
    <row r="121" spans="1:81" ht="12.75">
      <c r="A121" s="20" t="s">
        <v>86</v>
      </c>
      <c r="B121" s="3" t="s">
        <v>34</v>
      </c>
      <c r="C121" s="11" t="s">
        <v>11</v>
      </c>
      <c r="D121" s="52">
        <f t="shared" si="4"/>
        <v>18</v>
      </c>
      <c r="E121" s="68" t="e">
        <f>#REF!+#REF!+#REF!+#REF!+#REF!+#REF!+#REF!+#REF!+#REF!+#REF!+#REF!+#REF!+#REF!+#REF!+#REF!+#REF!+#REF!+#REF!</f>
        <v>#REF!</v>
      </c>
      <c r="F121" s="77" t="e">
        <f>#REF!+#REF!+#REF!+#REF!+#REF!+#REF!+#REF!+#REF!+#REF!+#REF!+#REF!+#REF!+#REF!+#REF!+#REF!+#REF!+#REF!+#REF!</f>
        <v>#REF!</v>
      </c>
      <c r="G121" s="259" t="e">
        <f>E121/D121*100</f>
        <v>#REF!</v>
      </c>
      <c r="H121" t="e">
        <f>F121/E121</f>
        <v>#REF!</v>
      </c>
      <c r="I121" s="20" t="s">
        <v>86</v>
      </c>
      <c r="J121" s="3" t="s">
        <v>34</v>
      </c>
      <c r="K121" s="11" t="s">
        <v>11</v>
      </c>
      <c r="L121" s="52">
        <v>1</v>
      </c>
      <c r="M121" s="20" t="s">
        <v>86</v>
      </c>
      <c r="N121" s="3" t="s">
        <v>34</v>
      </c>
      <c r="O121" s="11" t="s">
        <v>11</v>
      </c>
      <c r="P121" s="52">
        <v>1</v>
      </c>
      <c r="Q121" s="20" t="s">
        <v>86</v>
      </c>
      <c r="R121" s="3" t="s">
        <v>34</v>
      </c>
      <c r="S121" s="11" t="s">
        <v>11</v>
      </c>
      <c r="T121" s="52">
        <v>1</v>
      </c>
      <c r="U121" s="20" t="s">
        <v>86</v>
      </c>
      <c r="V121" s="3" t="s">
        <v>34</v>
      </c>
      <c r="W121" s="11" t="s">
        <v>11</v>
      </c>
      <c r="X121" s="52">
        <v>1</v>
      </c>
      <c r="Y121" s="20" t="s">
        <v>86</v>
      </c>
      <c r="Z121" s="3" t="s">
        <v>34</v>
      </c>
      <c r="AA121" s="11" t="s">
        <v>11</v>
      </c>
      <c r="AB121" s="52">
        <v>1</v>
      </c>
      <c r="AC121" s="20" t="s">
        <v>86</v>
      </c>
      <c r="AD121" s="3" t="s">
        <v>34</v>
      </c>
      <c r="AE121" s="11" t="s">
        <v>11</v>
      </c>
      <c r="AF121" s="52">
        <v>1</v>
      </c>
      <c r="AG121" s="20" t="s">
        <v>86</v>
      </c>
      <c r="AH121" s="3" t="s">
        <v>34</v>
      </c>
      <c r="AI121" s="11" t="s">
        <v>11</v>
      </c>
      <c r="AJ121" s="52">
        <v>1</v>
      </c>
      <c r="AK121" s="20" t="s">
        <v>86</v>
      </c>
      <c r="AL121" s="3" t="s">
        <v>34</v>
      </c>
      <c r="AM121" s="11" t="s">
        <v>11</v>
      </c>
      <c r="AN121" s="52">
        <v>1</v>
      </c>
      <c r="AO121" s="20" t="s">
        <v>86</v>
      </c>
      <c r="AP121" s="3" t="s">
        <v>34</v>
      </c>
      <c r="AQ121" s="11" t="s">
        <v>11</v>
      </c>
      <c r="AR121" s="52">
        <v>1</v>
      </c>
      <c r="AS121" s="20" t="s">
        <v>86</v>
      </c>
      <c r="AT121" s="3" t="s">
        <v>34</v>
      </c>
      <c r="AU121" s="11" t="s">
        <v>11</v>
      </c>
      <c r="AV121" s="52">
        <v>1</v>
      </c>
      <c r="AW121" s="20" t="s">
        <v>86</v>
      </c>
      <c r="AX121" s="3" t="s">
        <v>34</v>
      </c>
      <c r="AY121" s="11" t="s">
        <v>11</v>
      </c>
      <c r="AZ121" s="52">
        <v>1</v>
      </c>
      <c r="BA121" s="20" t="s">
        <v>86</v>
      </c>
      <c r="BB121" s="3" t="s">
        <v>34</v>
      </c>
      <c r="BC121" s="11" t="s">
        <v>11</v>
      </c>
      <c r="BD121" s="52">
        <v>1</v>
      </c>
      <c r="BE121" s="20" t="s">
        <v>86</v>
      </c>
      <c r="BF121" s="3" t="s">
        <v>34</v>
      </c>
      <c r="BG121" s="11" t="s">
        <v>11</v>
      </c>
      <c r="BH121" s="52">
        <v>1</v>
      </c>
      <c r="BI121" s="20" t="s">
        <v>86</v>
      </c>
      <c r="BJ121" s="3" t="s">
        <v>34</v>
      </c>
      <c r="BK121" s="11" t="s">
        <v>11</v>
      </c>
      <c r="BL121" s="52">
        <v>1</v>
      </c>
      <c r="BM121" s="20" t="s">
        <v>86</v>
      </c>
      <c r="BN121" s="3" t="s">
        <v>34</v>
      </c>
      <c r="BO121" s="11" t="s">
        <v>11</v>
      </c>
      <c r="BP121" s="52">
        <v>1</v>
      </c>
      <c r="BQ121" s="20" t="s">
        <v>86</v>
      </c>
      <c r="BR121" s="3" t="s">
        <v>34</v>
      </c>
      <c r="BS121" s="11" t="s">
        <v>11</v>
      </c>
      <c r="BT121" s="154">
        <v>1</v>
      </c>
      <c r="BU121" s="20" t="s">
        <v>86</v>
      </c>
      <c r="BV121" s="3" t="s">
        <v>34</v>
      </c>
      <c r="BW121" s="11" t="s">
        <v>11</v>
      </c>
      <c r="BX121" s="52">
        <v>1</v>
      </c>
      <c r="BY121" s="253" t="e">
        <f>#REF!/BX121*100</f>
        <v>#REF!</v>
      </c>
      <c r="BZ121" s="20" t="s">
        <v>86</v>
      </c>
      <c r="CA121" s="3" t="s">
        <v>34</v>
      </c>
      <c r="CB121" s="11" t="s">
        <v>11</v>
      </c>
      <c r="CC121" s="52">
        <v>1</v>
      </c>
    </row>
    <row r="122" spans="1:81" ht="12.75">
      <c r="A122" s="20" t="s">
        <v>87</v>
      </c>
      <c r="B122" s="3" t="s">
        <v>58</v>
      </c>
      <c r="C122" s="11" t="s">
        <v>20</v>
      </c>
      <c r="D122" s="52">
        <f t="shared" si="4"/>
        <v>6</v>
      </c>
      <c r="E122" s="68" t="e">
        <f>#REF!+#REF!+#REF!+#REF!+#REF!+#REF!+#REF!+#REF!+#REF!+#REF!+#REF!+#REF!+#REF!+#REF!+#REF!+#REF!+#REF!+#REF!</f>
        <v>#REF!</v>
      </c>
      <c r="F122" s="77" t="e">
        <f>#REF!+#REF!+#REF!+#REF!+#REF!+#REF!+#REF!+#REF!+#REF!+#REF!+#REF!+#REF!+#REF!+#REF!+#REF!+#REF!+#REF!+#REF!</f>
        <v>#REF!</v>
      </c>
      <c r="G122" s="259" t="e">
        <f>E122/D122*100</f>
        <v>#REF!</v>
      </c>
      <c r="I122" s="20" t="s">
        <v>87</v>
      </c>
      <c r="J122" s="3" t="s">
        <v>58</v>
      </c>
      <c r="K122" s="11" t="s">
        <v>20</v>
      </c>
      <c r="L122" s="52"/>
      <c r="M122" s="20" t="s">
        <v>87</v>
      </c>
      <c r="N122" s="3" t="s">
        <v>58</v>
      </c>
      <c r="O122" s="11" t="s">
        <v>20</v>
      </c>
      <c r="P122" s="52"/>
      <c r="Q122" s="20" t="s">
        <v>87</v>
      </c>
      <c r="R122" s="3" t="s">
        <v>58</v>
      </c>
      <c r="S122" s="11" t="s">
        <v>20</v>
      </c>
      <c r="T122" s="52"/>
      <c r="U122" s="20" t="s">
        <v>87</v>
      </c>
      <c r="V122" s="3" t="s">
        <v>58</v>
      </c>
      <c r="W122" s="11" t="s">
        <v>20</v>
      </c>
      <c r="X122" s="52"/>
      <c r="Y122" s="20" t="s">
        <v>87</v>
      </c>
      <c r="Z122" s="3" t="s">
        <v>58</v>
      </c>
      <c r="AA122" s="11" t="s">
        <v>20</v>
      </c>
      <c r="AB122" s="52"/>
      <c r="AC122" s="20" t="s">
        <v>87</v>
      </c>
      <c r="AD122" s="3" t="s">
        <v>58</v>
      </c>
      <c r="AE122" s="11" t="s">
        <v>20</v>
      </c>
      <c r="AF122" s="52"/>
      <c r="AG122" s="20" t="s">
        <v>87</v>
      </c>
      <c r="AH122" s="3" t="s">
        <v>58</v>
      </c>
      <c r="AI122" s="11" t="s">
        <v>20</v>
      </c>
      <c r="AJ122" s="270">
        <v>1</v>
      </c>
      <c r="AK122" s="20" t="s">
        <v>87</v>
      </c>
      <c r="AL122" s="3" t="s">
        <v>58</v>
      </c>
      <c r="AM122" s="11" t="s">
        <v>20</v>
      </c>
      <c r="AN122" s="376">
        <v>1</v>
      </c>
      <c r="AO122" s="20" t="s">
        <v>87</v>
      </c>
      <c r="AP122" s="3" t="s">
        <v>58</v>
      </c>
      <c r="AQ122" s="11" t="s">
        <v>20</v>
      </c>
      <c r="AR122" s="583">
        <v>1</v>
      </c>
      <c r="AS122" s="20" t="s">
        <v>87</v>
      </c>
      <c r="AT122" s="3" t="s">
        <v>58</v>
      </c>
      <c r="AU122" s="11" t="s">
        <v>20</v>
      </c>
      <c r="AV122" s="376">
        <v>1</v>
      </c>
      <c r="AW122" s="20" t="s">
        <v>87</v>
      </c>
      <c r="AX122" s="3" t="s">
        <v>58</v>
      </c>
      <c r="AY122" s="11" t="s">
        <v>20</v>
      </c>
      <c r="AZ122" s="52"/>
      <c r="BA122" s="20" t="s">
        <v>87</v>
      </c>
      <c r="BB122" s="3" t="s">
        <v>58</v>
      </c>
      <c r="BC122" s="11" t="s">
        <v>20</v>
      </c>
      <c r="BD122" s="52"/>
      <c r="BE122" s="20" t="s">
        <v>87</v>
      </c>
      <c r="BF122" s="3" t="s">
        <v>58</v>
      </c>
      <c r="BG122" s="11" t="s">
        <v>20</v>
      </c>
      <c r="BH122" s="52"/>
      <c r="BI122" s="20" t="s">
        <v>87</v>
      </c>
      <c r="BJ122" s="3" t="s">
        <v>58</v>
      </c>
      <c r="BK122" s="11" t="s">
        <v>20</v>
      </c>
      <c r="BL122" s="583">
        <v>1</v>
      </c>
      <c r="BM122" s="20" t="s">
        <v>87</v>
      </c>
      <c r="BN122" s="3" t="s">
        <v>58</v>
      </c>
      <c r="BO122" s="11" t="s">
        <v>20</v>
      </c>
      <c r="BP122" s="376">
        <v>1</v>
      </c>
      <c r="BQ122" s="20" t="s">
        <v>87</v>
      </c>
      <c r="BR122" s="3" t="s">
        <v>58</v>
      </c>
      <c r="BS122" s="11" t="s">
        <v>20</v>
      </c>
      <c r="BT122" s="154"/>
      <c r="BU122" s="20" t="s">
        <v>87</v>
      </c>
      <c r="BV122" s="3" t="s">
        <v>58</v>
      </c>
      <c r="BW122" s="11" t="s">
        <v>20</v>
      </c>
      <c r="BX122" s="52"/>
      <c r="BY122" s="253"/>
      <c r="BZ122" s="20" t="s">
        <v>87</v>
      </c>
      <c r="CA122" s="3" t="s">
        <v>58</v>
      </c>
      <c r="CB122" s="11" t="s">
        <v>20</v>
      </c>
      <c r="CC122" s="52"/>
    </row>
    <row r="123" spans="1:81" s="69" customFormat="1" ht="12.75" hidden="1">
      <c r="A123" s="574"/>
      <c r="B123" s="575"/>
      <c r="C123" s="576"/>
      <c r="D123" s="381"/>
      <c r="E123" s="68" t="e">
        <f>#REF!+#REF!+#REF!+#REF!+#REF!+#REF!+#REF!+#REF!+#REF!+#REF!+#REF!+#REF!+#REF!+#REF!+#REF!+#REF!+#REF!+#REF!</f>
        <v>#REF!</v>
      </c>
      <c r="F123" s="77" t="e">
        <f>#REF!+#REF!+#REF!+#REF!+#REF!+#REF!+#REF!+#REF!+#REF!+#REF!+#REF!+#REF!+#REF!+#REF!+#REF!+#REF!+#REF!+#REF!</f>
        <v>#REF!</v>
      </c>
      <c r="G123" s="366"/>
      <c r="I123" s="574"/>
      <c r="J123" s="575"/>
      <c r="K123" s="576"/>
      <c r="L123" s="381"/>
      <c r="M123" s="574"/>
      <c r="N123" s="575"/>
      <c r="O123" s="576"/>
      <c r="P123" s="381"/>
      <c r="Q123" s="574"/>
      <c r="R123" s="575"/>
      <c r="S123" s="576"/>
      <c r="T123" s="381"/>
      <c r="U123" s="574"/>
      <c r="V123" s="575"/>
      <c r="W123" s="576"/>
      <c r="X123" s="381"/>
      <c r="Y123" s="574"/>
      <c r="Z123" s="575"/>
      <c r="AA123" s="576"/>
      <c r="AB123" s="381"/>
      <c r="AC123" s="574"/>
      <c r="AD123" s="575"/>
      <c r="AE123" s="576"/>
      <c r="AF123" s="381"/>
      <c r="AG123" s="574"/>
      <c r="AH123" s="575"/>
      <c r="AI123" s="576"/>
      <c r="AJ123" s="577"/>
      <c r="AK123" s="574"/>
      <c r="AL123" s="575"/>
      <c r="AM123" s="576"/>
      <c r="AN123" s="381"/>
      <c r="AO123" s="574"/>
      <c r="AP123" s="575"/>
      <c r="AQ123" s="576"/>
      <c r="AR123" s="381"/>
      <c r="AS123" s="574"/>
      <c r="AT123" s="575"/>
      <c r="AU123" s="576"/>
      <c r="AV123" s="381"/>
      <c r="AW123" s="574"/>
      <c r="AX123" s="575"/>
      <c r="AY123" s="576"/>
      <c r="AZ123" s="381"/>
      <c r="BA123" s="574"/>
      <c r="BB123" s="575"/>
      <c r="BC123" s="576"/>
      <c r="BD123" s="381"/>
      <c r="BE123" s="574"/>
      <c r="BF123" s="575"/>
      <c r="BG123" s="576"/>
      <c r="BH123" s="381"/>
      <c r="BI123" s="574"/>
      <c r="BJ123" s="575"/>
      <c r="BK123" s="576"/>
      <c r="BL123" s="381"/>
      <c r="BM123" s="574"/>
      <c r="BN123" s="575"/>
      <c r="BO123" s="576"/>
      <c r="BP123" s="381"/>
      <c r="BQ123" s="574"/>
      <c r="BR123" s="575"/>
      <c r="BS123" s="576"/>
      <c r="BT123" s="578"/>
      <c r="BU123" s="574"/>
      <c r="BV123" s="575"/>
      <c r="BW123" s="576"/>
      <c r="BX123" s="381"/>
      <c r="BY123" s="255"/>
      <c r="BZ123" s="574"/>
      <c r="CA123" s="575"/>
      <c r="CB123" s="576"/>
      <c r="CC123" s="381"/>
    </row>
    <row r="124" spans="1:81" ht="12.75">
      <c r="A124" s="20" t="s">
        <v>360</v>
      </c>
      <c r="B124" s="3" t="s">
        <v>30</v>
      </c>
      <c r="C124" s="11" t="s">
        <v>25</v>
      </c>
      <c r="D124" s="153"/>
      <c r="E124" s="68" t="e">
        <f>#REF!+#REF!+#REF!+#REF!+#REF!+#REF!+#REF!+#REF!+#REF!+#REF!+#REF!+#REF!+#REF!+#REF!+#REF!+#REF!+#REF!+#REF!</f>
        <v>#REF!</v>
      </c>
      <c r="F124" s="77" t="e">
        <f>#REF!+#REF!+#REF!+#REF!+#REF!+#REF!+#REF!+#REF!+#REF!+#REF!+#REF!+#REF!+#REF!+#REF!+#REF!+#REF!+#REF!+#REF!</f>
        <v>#REF!</v>
      </c>
      <c r="G124" s="259"/>
      <c r="I124" s="20" t="s">
        <v>360</v>
      </c>
      <c r="J124" s="3" t="s">
        <v>30</v>
      </c>
      <c r="K124" s="11" t="s">
        <v>25</v>
      </c>
      <c r="L124" s="60"/>
      <c r="M124" s="20" t="s">
        <v>360</v>
      </c>
      <c r="N124" s="3" t="s">
        <v>30</v>
      </c>
      <c r="O124" s="11" t="s">
        <v>25</v>
      </c>
      <c r="P124" s="60"/>
      <c r="Q124" s="20" t="s">
        <v>360</v>
      </c>
      <c r="R124" s="3" t="s">
        <v>30</v>
      </c>
      <c r="S124" s="11" t="s">
        <v>25</v>
      </c>
      <c r="T124" s="60"/>
      <c r="U124" s="20" t="s">
        <v>360</v>
      </c>
      <c r="V124" s="3" t="s">
        <v>30</v>
      </c>
      <c r="W124" s="11" t="s">
        <v>25</v>
      </c>
      <c r="X124" s="60"/>
      <c r="Y124" s="20" t="s">
        <v>360</v>
      </c>
      <c r="Z124" s="3" t="s">
        <v>30</v>
      </c>
      <c r="AA124" s="11" t="s">
        <v>25</v>
      </c>
      <c r="AB124" s="60"/>
      <c r="AC124" s="20" t="s">
        <v>360</v>
      </c>
      <c r="AD124" s="3" t="s">
        <v>30</v>
      </c>
      <c r="AE124" s="11" t="s">
        <v>25</v>
      </c>
      <c r="AF124" s="60"/>
      <c r="AG124" s="20" t="s">
        <v>360</v>
      </c>
      <c r="AH124" s="3" t="s">
        <v>30</v>
      </c>
      <c r="AI124" s="11" t="s">
        <v>25</v>
      </c>
      <c r="AJ124" s="60"/>
      <c r="AK124" s="20" t="s">
        <v>360</v>
      </c>
      <c r="AL124" s="3" t="s">
        <v>30</v>
      </c>
      <c r="AM124" s="11" t="s">
        <v>25</v>
      </c>
      <c r="AN124" s="60"/>
      <c r="AO124" s="20" t="s">
        <v>360</v>
      </c>
      <c r="AP124" s="3" t="s">
        <v>30</v>
      </c>
      <c r="AQ124" s="11" t="s">
        <v>25</v>
      </c>
      <c r="AR124" s="60"/>
      <c r="AS124" s="20" t="s">
        <v>360</v>
      </c>
      <c r="AT124" s="3" t="s">
        <v>30</v>
      </c>
      <c r="AU124" s="11" t="s">
        <v>25</v>
      </c>
      <c r="AV124" s="60"/>
      <c r="AW124" s="20" t="s">
        <v>360</v>
      </c>
      <c r="AX124" s="3" t="s">
        <v>30</v>
      </c>
      <c r="AY124" s="11" t="s">
        <v>25</v>
      </c>
      <c r="AZ124" s="60"/>
      <c r="BA124" s="20" t="s">
        <v>360</v>
      </c>
      <c r="BB124" s="3" t="s">
        <v>30</v>
      </c>
      <c r="BC124" s="11" t="s">
        <v>25</v>
      </c>
      <c r="BD124" s="60"/>
      <c r="BE124" s="20" t="s">
        <v>360</v>
      </c>
      <c r="BF124" s="3" t="s">
        <v>30</v>
      </c>
      <c r="BG124" s="11" t="s">
        <v>25</v>
      </c>
      <c r="BH124" s="60"/>
      <c r="BI124" s="20" t="s">
        <v>360</v>
      </c>
      <c r="BJ124" s="3" t="s">
        <v>30</v>
      </c>
      <c r="BK124" s="11" t="s">
        <v>25</v>
      </c>
      <c r="BL124" s="60"/>
      <c r="BM124" s="20" t="s">
        <v>360</v>
      </c>
      <c r="BN124" s="3" t="s">
        <v>30</v>
      </c>
      <c r="BO124" s="11" t="s">
        <v>25</v>
      </c>
      <c r="BP124" s="60"/>
      <c r="BQ124" s="20" t="s">
        <v>360</v>
      </c>
      <c r="BR124" s="3" t="s">
        <v>30</v>
      </c>
      <c r="BS124" s="11" t="s">
        <v>25</v>
      </c>
      <c r="BT124" s="153"/>
      <c r="BU124" s="20" t="s">
        <v>360</v>
      </c>
      <c r="BV124" s="3" t="s">
        <v>30</v>
      </c>
      <c r="BW124" s="11" t="s">
        <v>25</v>
      </c>
      <c r="BX124" s="60"/>
      <c r="BY124" s="253"/>
      <c r="BZ124" s="20" t="s">
        <v>360</v>
      </c>
      <c r="CA124" s="3" t="s">
        <v>30</v>
      </c>
      <c r="CB124" s="11" t="s">
        <v>25</v>
      </c>
      <c r="CC124" s="60"/>
    </row>
    <row r="125" spans="1:81" ht="15" customHeight="1" hidden="1">
      <c r="A125" s="20" t="s">
        <v>361</v>
      </c>
      <c r="B125" s="64" t="s">
        <v>31</v>
      </c>
      <c r="C125" s="65" t="s">
        <v>15</v>
      </c>
      <c r="D125" s="154">
        <f>L125+P125+T125+X125+AB125+AF125+AJ125+AN125+AR125+AV125+AZ125+BD125+BH125+BL125+BP125+BT125+BX125</f>
        <v>0</v>
      </c>
      <c r="E125" s="68" t="e">
        <f>#REF!+#REF!+#REF!+#REF!+#REF!+#REF!+#REF!+#REF!+#REF!+#REF!+#REF!+#REF!+#REF!+#REF!+#REF!+#REF!+#REF!+#REF!</f>
        <v>#REF!</v>
      </c>
      <c r="F125" s="77" t="e">
        <f>#REF!+#REF!+#REF!+#REF!+#REF!+#REF!+#REF!+#REF!+#REF!+#REF!+#REF!+#REF!+#REF!+#REF!+#REF!+#REF!+#REF!+#REF!</f>
        <v>#REF!</v>
      </c>
      <c r="G125" s="268"/>
      <c r="I125" s="20" t="s">
        <v>361</v>
      </c>
      <c r="J125" s="3" t="s">
        <v>31</v>
      </c>
      <c r="K125" s="11" t="s">
        <v>15</v>
      </c>
      <c r="L125" s="52"/>
      <c r="M125" s="20" t="s">
        <v>361</v>
      </c>
      <c r="N125" s="3" t="s">
        <v>31</v>
      </c>
      <c r="O125" s="11" t="s">
        <v>15</v>
      </c>
      <c r="P125" s="52"/>
      <c r="Q125" s="20" t="s">
        <v>361</v>
      </c>
      <c r="R125" s="3" t="s">
        <v>31</v>
      </c>
      <c r="S125" s="11" t="s">
        <v>15</v>
      </c>
      <c r="T125" s="52"/>
      <c r="U125" s="20" t="s">
        <v>361</v>
      </c>
      <c r="V125" s="3" t="s">
        <v>31</v>
      </c>
      <c r="W125" s="11" t="s">
        <v>15</v>
      </c>
      <c r="X125" s="52"/>
      <c r="Y125" s="20" t="s">
        <v>361</v>
      </c>
      <c r="Z125" s="3" t="s">
        <v>31</v>
      </c>
      <c r="AA125" s="11" t="s">
        <v>15</v>
      </c>
      <c r="AB125" s="52"/>
      <c r="AC125" s="20" t="s">
        <v>361</v>
      </c>
      <c r="AD125" s="3" t="s">
        <v>31</v>
      </c>
      <c r="AE125" s="11" t="s">
        <v>15</v>
      </c>
      <c r="AF125" s="52"/>
      <c r="AG125" s="20" t="s">
        <v>361</v>
      </c>
      <c r="AH125" s="3" t="s">
        <v>31</v>
      </c>
      <c r="AI125" s="11" t="s">
        <v>15</v>
      </c>
      <c r="AJ125" s="52"/>
      <c r="AK125" s="20" t="s">
        <v>361</v>
      </c>
      <c r="AL125" s="3" t="s">
        <v>31</v>
      </c>
      <c r="AM125" s="11" t="s">
        <v>15</v>
      </c>
      <c r="AN125" s="52"/>
      <c r="AO125" s="20" t="s">
        <v>361</v>
      </c>
      <c r="AP125" s="3" t="s">
        <v>31</v>
      </c>
      <c r="AQ125" s="11" t="s">
        <v>15</v>
      </c>
      <c r="AR125" s="52"/>
      <c r="AS125" s="20" t="s">
        <v>361</v>
      </c>
      <c r="AT125" s="3" t="s">
        <v>31</v>
      </c>
      <c r="AU125" s="11" t="s">
        <v>15</v>
      </c>
      <c r="AV125" s="52"/>
      <c r="AW125" s="20" t="s">
        <v>361</v>
      </c>
      <c r="AX125" s="3" t="s">
        <v>31</v>
      </c>
      <c r="AY125" s="11" t="s">
        <v>15</v>
      </c>
      <c r="AZ125" s="52"/>
      <c r="BA125" s="20" t="s">
        <v>361</v>
      </c>
      <c r="BB125" s="3" t="s">
        <v>31</v>
      </c>
      <c r="BC125" s="11" t="s">
        <v>15</v>
      </c>
      <c r="BD125" s="52"/>
      <c r="BE125" s="20" t="s">
        <v>361</v>
      </c>
      <c r="BF125" s="3" t="s">
        <v>31</v>
      </c>
      <c r="BG125" s="11" t="s">
        <v>15</v>
      </c>
      <c r="BH125" s="52"/>
      <c r="BI125" s="20" t="s">
        <v>361</v>
      </c>
      <c r="BJ125" s="3" t="s">
        <v>31</v>
      </c>
      <c r="BK125" s="11" t="s">
        <v>15</v>
      </c>
      <c r="BL125" s="52"/>
      <c r="BM125" s="20" t="s">
        <v>361</v>
      </c>
      <c r="BN125" s="3" t="s">
        <v>31</v>
      </c>
      <c r="BO125" s="11" t="s">
        <v>15</v>
      </c>
      <c r="BP125" s="52"/>
      <c r="BQ125" s="20" t="s">
        <v>361</v>
      </c>
      <c r="BR125" s="3" t="s">
        <v>31</v>
      </c>
      <c r="BS125" s="11" t="s">
        <v>15</v>
      </c>
      <c r="BT125" s="154"/>
      <c r="BU125" s="20" t="s">
        <v>361</v>
      </c>
      <c r="BV125" s="3" t="s">
        <v>31</v>
      </c>
      <c r="BW125" s="11" t="s">
        <v>15</v>
      </c>
      <c r="BX125" s="52"/>
      <c r="BY125" s="254"/>
      <c r="BZ125" s="20" t="s">
        <v>361</v>
      </c>
      <c r="CA125" s="3" t="s">
        <v>31</v>
      </c>
      <c r="CB125" s="11" t="s">
        <v>15</v>
      </c>
      <c r="CC125" s="52"/>
    </row>
    <row r="126" spans="1:81" ht="15.75">
      <c r="A126" s="39"/>
      <c r="B126" s="41" t="s">
        <v>216</v>
      </c>
      <c r="C126" s="43"/>
      <c r="D126" s="40"/>
      <c r="E126" s="264"/>
      <c r="F126" s="106" t="e">
        <f>SUM(F116:F125)</f>
        <v>#REF!</v>
      </c>
      <c r="G126" s="271"/>
      <c r="I126" s="39"/>
      <c r="J126" s="41" t="s">
        <v>216</v>
      </c>
      <c r="K126" s="43"/>
      <c r="L126" s="160"/>
      <c r="M126" s="39"/>
      <c r="N126" s="41" t="s">
        <v>216</v>
      </c>
      <c r="O126" s="43"/>
      <c r="P126" s="160"/>
      <c r="Q126" s="39"/>
      <c r="R126" s="41" t="s">
        <v>216</v>
      </c>
      <c r="S126" s="43"/>
      <c r="T126" s="40"/>
      <c r="U126" s="39"/>
      <c r="V126" s="41" t="s">
        <v>216</v>
      </c>
      <c r="W126" s="43"/>
      <c r="X126" s="40"/>
      <c r="Y126" s="39"/>
      <c r="Z126" s="41" t="s">
        <v>216</v>
      </c>
      <c r="AA126" s="43"/>
      <c r="AB126" s="40"/>
      <c r="AC126" s="39"/>
      <c r="AD126" s="41" t="s">
        <v>216</v>
      </c>
      <c r="AE126" s="43"/>
      <c r="AF126" s="40"/>
      <c r="AG126" s="39"/>
      <c r="AH126" s="41" t="s">
        <v>216</v>
      </c>
      <c r="AI126" s="43"/>
      <c r="AJ126" s="40"/>
      <c r="AK126" s="39"/>
      <c r="AL126" s="41" t="s">
        <v>216</v>
      </c>
      <c r="AM126" s="43"/>
      <c r="AN126" s="40"/>
      <c r="AO126" s="39"/>
      <c r="AP126" s="41" t="s">
        <v>216</v>
      </c>
      <c r="AQ126" s="43"/>
      <c r="AR126" s="40"/>
      <c r="AS126" s="39"/>
      <c r="AT126" s="41" t="s">
        <v>216</v>
      </c>
      <c r="AU126" s="43"/>
      <c r="AV126" s="40"/>
      <c r="AW126" s="39"/>
      <c r="AX126" s="41" t="s">
        <v>216</v>
      </c>
      <c r="AY126" s="43"/>
      <c r="AZ126" s="40"/>
      <c r="BA126" s="39"/>
      <c r="BB126" s="41" t="s">
        <v>216</v>
      </c>
      <c r="BC126" s="43"/>
      <c r="BD126" s="40"/>
      <c r="BE126" s="39"/>
      <c r="BF126" s="41" t="s">
        <v>216</v>
      </c>
      <c r="BG126" s="43"/>
      <c r="BH126" s="40"/>
      <c r="BI126" s="39"/>
      <c r="BJ126" s="41" t="s">
        <v>216</v>
      </c>
      <c r="BK126" s="43"/>
      <c r="BL126" s="40"/>
      <c r="BM126" s="39"/>
      <c r="BN126" s="41" t="s">
        <v>216</v>
      </c>
      <c r="BO126" s="43"/>
      <c r="BP126" s="40"/>
      <c r="BQ126" s="39"/>
      <c r="BR126" s="41" t="s">
        <v>216</v>
      </c>
      <c r="BS126" s="43"/>
      <c r="BT126" s="265"/>
      <c r="BU126" s="39"/>
      <c r="BV126" s="41" t="s">
        <v>216</v>
      </c>
      <c r="BW126" s="43"/>
      <c r="BX126" s="40"/>
      <c r="BY126" s="272"/>
      <c r="BZ126" s="39"/>
      <c r="CA126" s="41" t="s">
        <v>216</v>
      </c>
      <c r="CB126" s="43"/>
      <c r="CC126" s="40"/>
    </row>
    <row r="127" spans="1:81" s="235" customFormat="1" ht="18.75">
      <c r="A127" s="397" t="s">
        <v>411</v>
      </c>
      <c r="B127" s="372" t="s">
        <v>39</v>
      </c>
      <c r="C127" s="398"/>
      <c r="D127" s="231"/>
      <c r="E127" s="227"/>
      <c r="F127" s="227"/>
      <c r="G127" s="444"/>
      <c r="I127" s="397" t="s">
        <v>411</v>
      </c>
      <c r="J127" s="372" t="s">
        <v>39</v>
      </c>
      <c r="K127" s="398"/>
      <c r="L127" s="402"/>
      <c r="M127" s="397" t="s">
        <v>411</v>
      </c>
      <c r="N127" s="372" t="s">
        <v>39</v>
      </c>
      <c r="O127" s="398"/>
      <c r="P127" s="402"/>
      <c r="Q127" s="397" t="s">
        <v>411</v>
      </c>
      <c r="R127" s="372" t="s">
        <v>39</v>
      </c>
      <c r="S127" s="398"/>
      <c r="T127" s="231"/>
      <c r="U127" s="397" t="s">
        <v>411</v>
      </c>
      <c r="V127" s="372" t="s">
        <v>39</v>
      </c>
      <c r="W127" s="398"/>
      <c r="X127" s="231"/>
      <c r="Y127" s="397" t="s">
        <v>411</v>
      </c>
      <c r="Z127" s="372" t="s">
        <v>39</v>
      </c>
      <c r="AA127" s="398"/>
      <c r="AB127" s="231"/>
      <c r="AC127" s="397" t="s">
        <v>411</v>
      </c>
      <c r="AD127" s="372" t="s">
        <v>39</v>
      </c>
      <c r="AE127" s="398"/>
      <c r="AF127" s="231"/>
      <c r="AG127" s="397" t="s">
        <v>411</v>
      </c>
      <c r="AH127" s="372" t="s">
        <v>39</v>
      </c>
      <c r="AI127" s="398"/>
      <c r="AJ127" s="231"/>
      <c r="AK127" s="397" t="s">
        <v>411</v>
      </c>
      <c r="AL127" s="372" t="s">
        <v>39</v>
      </c>
      <c r="AM127" s="398"/>
      <c r="AN127" s="231"/>
      <c r="AO127" s="397" t="s">
        <v>411</v>
      </c>
      <c r="AP127" s="372" t="s">
        <v>39</v>
      </c>
      <c r="AQ127" s="398"/>
      <c r="AR127" s="231"/>
      <c r="AS127" s="397" t="s">
        <v>411</v>
      </c>
      <c r="AT127" s="372" t="s">
        <v>39</v>
      </c>
      <c r="AU127" s="398"/>
      <c r="AV127" s="231"/>
      <c r="AW127" s="397" t="s">
        <v>411</v>
      </c>
      <c r="AX127" s="372" t="s">
        <v>39</v>
      </c>
      <c r="AY127" s="398"/>
      <c r="AZ127" s="231"/>
      <c r="BA127" s="397" t="s">
        <v>411</v>
      </c>
      <c r="BB127" s="372" t="s">
        <v>39</v>
      </c>
      <c r="BC127" s="398"/>
      <c r="BD127" s="231"/>
      <c r="BE127" s="397" t="s">
        <v>411</v>
      </c>
      <c r="BF127" s="372" t="s">
        <v>39</v>
      </c>
      <c r="BG127" s="398"/>
      <c r="BH127" s="231"/>
      <c r="BI127" s="397" t="s">
        <v>411</v>
      </c>
      <c r="BJ127" s="372" t="s">
        <v>39</v>
      </c>
      <c r="BK127" s="398"/>
      <c r="BL127" s="231"/>
      <c r="BM127" s="397" t="s">
        <v>411</v>
      </c>
      <c r="BN127" s="372" t="s">
        <v>39</v>
      </c>
      <c r="BO127" s="398"/>
      <c r="BP127" s="231"/>
      <c r="BQ127" s="397" t="s">
        <v>411</v>
      </c>
      <c r="BR127" s="372" t="s">
        <v>39</v>
      </c>
      <c r="BS127" s="398"/>
      <c r="BT127" s="231"/>
      <c r="BU127" s="397" t="s">
        <v>411</v>
      </c>
      <c r="BV127" s="372" t="s">
        <v>39</v>
      </c>
      <c r="BW127" s="398"/>
      <c r="BX127" s="231"/>
      <c r="BY127" s="227"/>
      <c r="BZ127" s="397" t="s">
        <v>411</v>
      </c>
      <c r="CA127" s="372" t="s">
        <v>39</v>
      </c>
      <c r="CB127" s="398"/>
      <c r="CC127" s="231"/>
    </row>
    <row r="128" spans="1:81" s="453" customFormat="1" ht="18.75">
      <c r="A128" s="448" t="s">
        <v>222</v>
      </c>
      <c r="B128" s="527" t="s">
        <v>41</v>
      </c>
      <c r="C128" s="449" t="s">
        <v>22</v>
      </c>
      <c r="D128" s="511">
        <f>D129+D130</f>
        <v>0.7213</v>
      </c>
      <c r="E128" s="511" t="e">
        <f>E129+E130</f>
        <v>#REF!</v>
      </c>
      <c r="F128" s="230" t="e">
        <f>F129+F130</f>
        <v>#REF!</v>
      </c>
      <c r="G128" s="452" t="e">
        <f>E128/D128*100</f>
        <v>#REF!</v>
      </c>
      <c r="H128" s="453" t="e">
        <f>F128/E128</f>
        <v>#REF!</v>
      </c>
      <c r="I128" s="448" t="s">
        <v>222</v>
      </c>
      <c r="J128" s="527" t="s">
        <v>41</v>
      </c>
      <c r="K128" s="449" t="s">
        <v>22</v>
      </c>
      <c r="L128" s="511">
        <f>L129+L130</f>
        <v>0.027</v>
      </c>
      <c r="M128" s="448" t="s">
        <v>222</v>
      </c>
      <c r="N128" s="527" t="s">
        <v>41</v>
      </c>
      <c r="O128" s="449" t="s">
        <v>22</v>
      </c>
      <c r="P128" s="511">
        <f>P129+P130</f>
        <v>0.064</v>
      </c>
      <c r="Q128" s="448" t="s">
        <v>222</v>
      </c>
      <c r="R128" s="527" t="s">
        <v>41</v>
      </c>
      <c r="S128" s="449" t="s">
        <v>22</v>
      </c>
      <c r="T128" s="511">
        <f>T129+T130</f>
        <v>0.026000000000000002</v>
      </c>
      <c r="U128" s="448" t="s">
        <v>222</v>
      </c>
      <c r="V128" s="527" t="s">
        <v>41</v>
      </c>
      <c r="W128" s="449" t="s">
        <v>22</v>
      </c>
      <c r="X128" s="511">
        <f>X129+X130</f>
        <v>0.03</v>
      </c>
      <c r="Y128" s="448" t="s">
        <v>222</v>
      </c>
      <c r="Z128" s="527" t="s">
        <v>41</v>
      </c>
      <c r="AA128" s="449" t="s">
        <v>22</v>
      </c>
      <c r="AB128" s="511">
        <f>AB129+AB130</f>
        <v>0.064</v>
      </c>
      <c r="AC128" s="448" t="s">
        <v>222</v>
      </c>
      <c r="AD128" s="527" t="s">
        <v>41</v>
      </c>
      <c r="AE128" s="449" t="s">
        <v>22</v>
      </c>
      <c r="AF128" s="511">
        <f>AF129+AF130</f>
        <v>0.006</v>
      </c>
      <c r="AG128" s="448" t="s">
        <v>222</v>
      </c>
      <c r="AH128" s="527" t="s">
        <v>41</v>
      </c>
      <c r="AI128" s="449" t="s">
        <v>22</v>
      </c>
      <c r="AJ128" s="511">
        <f>AJ129+AJ130</f>
        <v>0.1793</v>
      </c>
      <c r="AK128" s="448" t="s">
        <v>222</v>
      </c>
      <c r="AL128" s="527" t="s">
        <v>41</v>
      </c>
      <c r="AM128" s="449" t="s">
        <v>22</v>
      </c>
      <c r="AN128" s="511">
        <f>AN129+AN130</f>
        <v>0.037</v>
      </c>
      <c r="AO128" s="448" t="s">
        <v>222</v>
      </c>
      <c r="AP128" s="527" t="s">
        <v>41</v>
      </c>
      <c r="AQ128" s="449" t="s">
        <v>22</v>
      </c>
      <c r="AR128" s="511">
        <f>AR129+AR130</f>
        <v>0.03</v>
      </c>
      <c r="AS128" s="448" t="s">
        <v>222</v>
      </c>
      <c r="AT128" s="527" t="s">
        <v>41</v>
      </c>
      <c r="AU128" s="449" t="s">
        <v>22</v>
      </c>
      <c r="AV128" s="511">
        <f>AV129+AV130</f>
        <v>0.047</v>
      </c>
      <c r="AW128" s="448" t="s">
        <v>222</v>
      </c>
      <c r="AX128" s="527" t="s">
        <v>41</v>
      </c>
      <c r="AY128" s="449" t="s">
        <v>22</v>
      </c>
      <c r="AZ128" s="511">
        <f>AZ129+AZ130</f>
        <v>0.052000000000000005</v>
      </c>
      <c r="BA128" s="448" t="s">
        <v>222</v>
      </c>
      <c r="BB128" s="527" t="s">
        <v>41</v>
      </c>
      <c r="BC128" s="449" t="s">
        <v>22</v>
      </c>
      <c r="BD128" s="511">
        <f>BD129+BD130</f>
        <v>0.02</v>
      </c>
      <c r="BE128" s="448" t="s">
        <v>222</v>
      </c>
      <c r="BF128" s="527" t="s">
        <v>41</v>
      </c>
      <c r="BG128" s="449" t="s">
        <v>22</v>
      </c>
      <c r="BH128" s="511">
        <f>BH129+BH130</f>
        <v>0.015</v>
      </c>
      <c r="BI128" s="448" t="s">
        <v>222</v>
      </c>
      <c r="BJ128" s="527" t="s">
        <v>41</v>
      </c>
      <c r="BK128" s="449" t="s">
        <v>22</v>
      </c>
      <c r="BL128" s="511">
        <f>BL129+BL130</f>
        <v>0.016</v>
      </c>
      <c r="BM128" s="448" t="s">
        <v>222</v>
      </c>
      <c r="BN128" s="527" t="s">
        <v>41</v>
      </c>
      <c r="BO128" s="449" t="s">
        <v>22</v>
      </c>
      <c r="BP128" s="511">
        <f>BP129+BP130</f>
        <v>0.047</v>
      </c>
      <c r="BQ128" s="448" t="s">
        <v>222</v>
      </c>
      <c r="BR128" s="527" t="s">
        <v>41</v>
      </c>
      <c r="BS128" s="449" t="s">
        <v>22</v>
      </c>
      <c r="BT128" s="511">
        <f>BT129+BT130</f>
        <v>0.045</v>
      </c>
      <c r="BU128" s="448" t="s">
        <v>222</v>
      </c>
      <c r="BV128" s="527" t="s">
        <v>41</v>
      </c>
      <c r="BW128" s="449" t="s">
        <v>22</v>
      </c>
      <c r="BX128" s="511">
        <f>BX129+BX130</f>
        <v>0.016</v>
      </c>
      <c r="BY128" s="455" t="e">
        <f>#REF!/BX128*100</f>
        <v>#REF!</v>
      </c>
      <c r="BZ128" s="448" t="s">
        <v>222</v>
      </c>
      <c r="CA128" s="527" t="s">
        <v>41</v>
      </c>
      <c r="CB128" s="449" t="s">
        <v>22</v>
      </c>
      <c r="CC128" s="511">
        <f>CC129+CC130</f>
        <v>0</v>
      </c>
    </row>
    <row r="129" spans="1:81" ht="12.75">
      <c r="A129" s="20" t="s">
        <v>199</v>
      </c>
      <c r="B129" s="3" t="s">
        <v>349</v>
      </c>
      <c r="C129" s="11" t="s">
        <v>28</v>
      </c>
      <c r="D129" s="60">
        <f>L129+P129+T129+X129+AB129+AF129+AJ129+AN129+AR129+AV129+AZ129+BD129+BH129+BL129+BP129+BT129+BX129+CC129</f>
        <v>0.5973</v>
      </c>
      <c r="E129" s="68" t="e">
        <f>#REF!+#REF!+#REF!+#REF!+#REF!+#REF!+#REF!+#REF!+#REF!+#REF!+#REF!+#REF!+#REF!+#REF!+#REF!+#REF!+#REF!+#REF!</f>
        <v>#REF!</v>
      </c>
      <c r="F129" s="77" t="e">
        <f>#REF!+#REF!+#REF!+#REF!+#REF!+#REF!+#REF!+#REF!+#REF!+#REF!+#REF!+#REF!+#REF!+#REF!+#REF!+#REF!+#REF!+#REF!</f>
        <v>#REF!</v>
      </c>
      <c r="G129" s="258"/>
      <c r="I129" s="20" t="s">
        <v>199</v>
      </c>
      <c r="J129" s="3" t="s">
        <v>349</v>
      </c>
      <c r="K129" s="11" t="s">
        <v>28</v>
      </c>
      <c r="L129" s="60">
        <v>0.027</v>
      </c>
      <c r="M129" s="20" t="s">
        <v>199</v>
      </c>
      <c r="N129" s="3" t="s">
        <v>349</v>
      </c>
      <c r="O129" s="11" t="s">
        <v>28</v>
      </c>
      <c r="P129" s="60">
        <v>0.025</v>
      </c>
      <c r="Q129" s="20" t="s">
        <v>199</v>
      </c>
      <c r="R129" s="3" t="s">
        <v>349</v>
      </c>
      <c r="S129" s="11" t="s">
        <v>28</v>
      </c>
      <c r="T129" s="60">
        <f>0.016+0.01</f>
        <v>0.026000000000000002</v>
      </c>
      <c r="U129" s="20" t="s">
        <v>199</v>
      </c>
      <c r="V129" s="3" t="s">
        <v>349</v>
      </c>
      <c r="W129" s="11" t="s">
        <v>28</v>
      </c>
      <c r="X129" s="60">
        <v>0.03</v>
      </c>
      <c r="Y129" s="20" t="s">
        <v>199</v>
      </c>
      <c r="Z129" s="3" t="s">
        <v>349</v>
      </c>
      <c r="AA129" s="11" t="s">
        <v>28</v>
      </c>
      <c r="AB129" s="60">
        <f>0.012+0.052</f>
        <v>0.064</v>
      </c>
      <c r="AC129" s="20" t="s">
        <v>199</v>
      </c>
      <c r="AD129" s="3" t="s">
        <v>349</v>
      </c>
      <c r="AE129" s="11" t="s">
        <v>28</v>
      </c>
      <c r="AF129" s="60">
        <v>0.006</v>
      </c>
      <c r="AG129" s="20" t="s">
        <v>199</v>
      </c>
      <c r="AH129" s="3" t="s">
        <v>349</v>
      </c>
      <c r="AI129" s="11" t="s">
        <v>28</v>
      </c>
      <c r="AJ129" s="60">
        <f>0.054+0.1253</f>
        <v>0.1793</v>
      </c>
      <c r="AK129" s="20" t="s">
        <v>199</v>
      </c>
      <c r="AL129" s="3" t="s">
        <v>349</v>
      </c>
      <c r="AM129" s="11" t="s">
        <v>28</v>
      </c>
      <c r="AN129" s="60">
        <v>0.027</v>
      </c>
      <c r="AO129" s="20" t="s">
        <v>199</v>
      </c>
      <c r="AP129" s="3" t="s">
        <v>349</v>
      </c>
      <c r="AQ129" s="11" t="s">
        <v>28</v>
      </c>
      <c r="AR129" s="60">
        <v>0.03</v>
      </c>
      <c r="AS129" s="20" t="s">
        <v>199</v>
      </c>
      <c r="AT129" s="3" t="s">
        <v>349</v>
      </c>
      <c r="AU129" s="11" t="s">
        <v>28</v>
      </c>
      <c r="AV129" s="60">
        <f>0.027+0.02</f>
        <v>0.047</v>
      </c>
      <c r="AW129" s="20" t="s">
        <v>199</v>
      </c>
      <c r="AX129" s="3" t="s">
        <v>349</v>
      </c>
      <c r="AY129" s="11" t="s">
        <v>28</v>
      </c>
      <c r="AZ129" s="60">
        <v>0.027</v>
      </c>
      <c r="BA129" s="20" t="s">
        <v>199</v>
      </c>
      <c r="BB129" s="3" t="s">
        <v>349</v>
      </c>
      <c r="BC129" s="11" t="s">
        <v>28</v>
      </c>
      <c r="BD129" s="60">
        <v>0.02</v>
      </c>
      <c r="BE129" s="20" t="s">
        <v>199</v>
      </c>
      <c r="BF129" s="3" t="s">
        <v>349</v>
      </c>
      <c r="BG129" s="11" t="s">
        <v>28</v>
      </c>
      <c r="BH129" s="60">
        <f>0.015</f>
        <v>0.015</v>
      </c>
      <c r="BI129" s="20" t="s">
        <v>199</v>
      </c>
      <c r="BJ129" s="3" t="s">
        <v>349</v>
      </c>
      <c r="BK129" s="11" t="s">
        <v>28</v>
      </c>
      <c r="BL129" s="60">
        <v>0.016</v>
      </c>
      <c r="BM129" s="20" t="s">
        <v>199</v>
      </c>
      <c r="BN129" s="3" t="s">
        <v>349</v>
      </c>
      <c r="BO129" s="11" t="s">
        <v>28</v>
      </c>
      <c r="BP129" s="60">
        <v>0.027</v>
      </c>
      <c r="BQ129" s="20" t="s">
        <v>199</v>
      </c>
      <c r="BR129" s="3" t="s">
        <v>349</v>
      </c>
      <c r="BS129" s="11" t="s">
        <v>28</v>
      </c>
      <c r="BT129" s="153">
        <v>0.015</v>
      </c>
      <c r="BU129" s="20" t="s">
        <v>199</v>
      </c>
      <c r="BV129" s="3" t="s">
        <v>349</v>
      </c>
      <c r="BW129" s="11" t="s">
        <v>28</v>
      </c>
      <c r="BX129" s="60">
        <v>0.016</v>
      </c>
      <c r="BY129" s="256"/>
      <c r="BZ129" s="20" t="s">
        <v>199</v>
      </c>
      <c r="CA129" s="3" t="s">
        <v>349</v>
      </c>
      <c r="CB129" s="11" t="s">
        <v>28</v>
      </c>
      <c r="CC129" s="60"/>
    </row>
    <row r="130" spans="1:81" ht="12.75">
      <c r="A130" s="20" t="s">
        <v>200</v>
      </c>
      <c r="B130" s="3" t="s">
        <v>350</v>
      </c>
      <c r="C130" s="11" t="s">
        <v>28</v>
      </c>
      <c r="D130" s="60">
        <f>L130+P130+T130+X130+AB130+AF130+AJ130+AN130+AR130+AV130+AZ130+BD130+BH130+BL130+BP130+BT130+BX130+CC130</f>
        <v>0.12400000000000001</v>
      </c>
      <c r="E130" s="68" t="e">
        <f>#REF!+#REF!+#REF!+#REF!+#REF!+#REF!+#REF!+#REF!+#REF!+#REF!+#REF!+#REF!+#REF!+#REF!+#REF!+#REF!+#REF!+#REF!</f>
        <v>#REF!</v>
      </c>
      <c r="F130" s="77" t="e">
        <f>#REF!+#REF!+#REF!+#REF!+#REF!+#REF!+#REF!+#REF!+#REF!+#REF!+#REF!+#REF!+#REF!+#REF!+#REF!+#REF!+#REF!+#REF!</f>
        <v>#REF!</v>
      </c>
      <c r="G130" s="258"/>
      <c r="I130" s="20" t="s">
        <v>200</v>
      </c>
      <c r="J130" s="3" t="s">
        <v>350</v>
      </c>
      <c r="K130" s="11" t="s">
        <v>28</v>
      </c>
      <c r="L130" s="60"/>
      <c r="M130" s="20" t="s">
        <v>200</v>
      </c>
      <c r="N130" s="3" t="s">
        <v>350</v>
      </c>
      <c r="O130" s="11" t="s">
        <v>28</v>
      </c>
      <c r="P130" s="60">
        <f>0.027+0.012</f>
        <v>0.039</v>
      </c>
      <c r="Q130" s="20" t="s">
        <v>200</v>
      </c>
      <c r="R130" s="3" t="s">
        <v>350</v>
      </c>
      <c r="S130" s="11" t="s">
        <v>28</v>
      </c>
      <c r="T130" s="60"/>
      <c r="U130" s="20" t="s">
        <v>200</v>
      </c>
      <c r="V130" s="3" t="s">
        <v>350</v>
      </c>
      <c r="W130" s="11" t="s">
        <v>28</v>
      </c>
      <c r="X130" s="60"/>
      <c r="Y130" s="20" t="s">
        <v>200</v>
      </c>
      <c r="Z130" s="3" t="s">
        <v>350</v>
      </c>
      <c r="AA130" s="11" t="s">
        <v>28</v>
      </c>
      <c r="AB130" s="60"/>
      <c r="AC130" s="20" t="s">
        <v>200</v>
      </c>
      <c r="AD130" s="3" t="s">
        <v>350</v>
      </c>
      <c r="AE130" s="11" t="s">
        <v>28</v>
      </c>
      <c r="AF130" s="60"/>
      <c r="AG130" s="20" t="s">
        <v>200</v>
      </c>
      <c r="AH130" s="3" t="s">
        <v>350</v>
      </c>
      <c r="AI130" s="11" t="s">
        <v>28</v>
      </c>
      <c r="AJ130" s="60"/>
      <c r="AK130" s="20" t="s">
        <v>200</v>
      </c>
      <c r="AL130" s="3" t="s">
        <v>350</v>
      </c>
      <c r="AM130" s="11" t="s">
        <v>28</v>
      </c>
      <c r="AN130" s="60">
        <v>0.01</v>
      </c>
      <c r="AO130" s="20" t="s">
        <v>200</v>
      </c>
      <c r="AP130" s="3" t="s">
        <v>350</v>
      </c>
      <c r="AQ130" s="11" t="s">
        <v>28</v>
      </c>
      <c r="AR130" s="60"/>
      <c r="AS130" s="20" t="s">
        <v>200</v>
      </c>
      <c r="AT130" s="3" t="s">
        <v>350</v>
      </c>
      <c r="AU130" s="11" t="s">
        <v>28</v>
      </c>
      <c r="AV130" s="60"/>
      <c r="AW130" s="20" t="s">
        <v>200</v>
      </c>
      <c r="AX130" s="3" t="s">
        <v>350</v>
      </c>
      <c r="AY130" s="11" t="s">
        <v>28</v>
      </c>
      <c r="AZ130" s="60">
        <v>0.025</v>
      </c>
      <c r="BA130" s="20" t="s">
        <v>200</v>
      </c>
      <c r="BB130" s="3" t="s">
        <v>350</v>
      </c>
      <c r="BC130" s="11" t="s">
        <v>28</v>
      </c>
      <c r="BD130" s="60"/>
      <c r="BE130" s="20" t="s">
        <v>200</v>
      </c>
      <c r="BF130" s="3" t="s">
        <v>350</v>
      </c>
      <c r="BG130" s="11" t="s">
        <v>28</v>
      </c>
      <c r="BH130" s="60"/>
      <c r="BI130" s="20" t="s">
        <v>200</v>
      </c>
      <c r="BJ130" s="3" t="s">
        <v>350</v>
      </c>
      <c r="BK130" s="11" t="s">
        <v>28</v>
      </c>
      <c r="BL130" s="60"/>
      <c r="BM130" s="20" t="s">
        <v>200</v>
      </c>
      <c r="BN130" s="3" t="s">
        <v>350</v>
      </c>
      <c r="BO130" s="11" t="s">
        <v>28</v>
      </c>
      <c r="BP130" s="60">
        <v>0.02</v>
      </c>
      <c r="BQ130" s="20" t="s">
        <v>200</v>
      </c>
      <c r="BR130" s="3" t="s">
        <v>350</v>
      </c>
      <c r="BS130" s="11" t="s">
        <v>28</v>
      </c>
      <c r="BT130" s="153">
        <v>0.03</v>
      </c>
      <c r="BU130" s="20" t="s">
        <v>200</v>
      </c>
      <c r="BV130" s="3" t="s">
        <v>350</v>
      </c>
      <c r="BW130" s="11" t="s">
        <v>28</v>
      </c>
      <c r="BX130" s="60"/>
      <c r="BY130" s="256"/>
      <c r="BZ130" s="20" t="s">
        <v>200</v>
      </c>
      <c r="CA130" s="3" t="s">
        <v>350</v>
      </c>
      <c r="CB130" s="11" t="s">
        <v>28</v>
      </c>
      <c r="CC130" s="60"/>
    </row>
    <row r="131" spans="1:81" ht="12.75">
      <c r="A131" s="20" t="s">
        <v>201</v>
      </c>
      <c r="B131" s="3" t="s">
        <v>42</v>
      </c>
      <c r="C131" s="11" t="s">
        <v>11</v>
      </c>
      <c r="D131" s="52">
        <f>L131+P131+T131+X131+AB131+AF131+AJ131+AN131+AR131+AV131+AZ131+BD131+BH131+BL131+BP131+BT131+BX131+CC131</f>
        <v>18</v>
      </c>
      <c r="E131" s="68" t="e">
        <f>#REF!+#REF!+#REF!+#REF!+#REF!+#REF!+#REF!+#REF!+#REF!+#REF!+#REF!+#REF!+#REF!+#REF!+#REF!+#REF!+#REF!+#REF!</f>
        <v>#REF!</v>
      </c>
      <c r="F131" s="77" t="e">
        <f>#REF!+#REF!+#REF!+#REF!+#REF!+#REF!+#REF!+#REF!+#REF!+#REF!+#REF!+#REF!+#REF!+#REF!+#REF!+#REF!+#REF!+#REF!</f>
        <v>#REF!</v>
      </c>
      <c r="G131" s="258" t="e">
        <f>E131/D131*100</f>
        <v>#REF!</v>
      </c>
      <c r="H131" t="e">
        <f>F131/E131</f>
        <v>#REF!</v>
      </c>
      <c r="I131" s="20" t="s">
        <v>201</v>
      </c>
      <c r="J131" s="3" t="s">
        <v>42</v>
      </c>
      <c r="K131" s="11" t="s">
        <v>11</v>
      </c>
      <c r="L131" s="52">
        <v>1</v>
      </c>
      <c r="M131" s="20" t="s">
        <v>201</v>
      </c>
      <c r="N131" s="3" t="s">
        <v>42</v>
      </c>
      <c r="O131" s="11" t="s">
        <v>11</v>
      </c>
      <c r="P131" s="52">
        <v>1</v>
      </c>
      <c r="Q131" s="20" t="s">
        <v>201</v>
      </c>
      <c r="R131" s="3" t="s">
        <v>42</v>
      </c>
      <c r="S131" s="11" t="s">
        <v>11</v>
      </c>
      <c r="T131" s="52">
        <v>1</v>
      </c>
      <c r="U131" s="20" t="s">
        <v>201</v>
      </c>
      <c r="V131" s="3" t="s">
        <v>42</v>
      </c>
      <c r="W131" s="11" t="s">
        <v>11</v>
      </c>
      <c r="X131" s="52">
        <v>1</v>
      </c>
      <c r="Y131" s="20" t="s">
        <v>201</v>
      </c>
      <c r="Z131" s="3" t="s">
        <v>42</v>
      </c>
      <c r="AA131" s="11" t="s">
        <v>11</v>
      </c>
      <c r="AB131" s="52">
        <v>1</v>
      </c>
      <c r="AC131" s="20" t="s">
        <v>201</v>
      </c>
      <c r="AD131" s="3" t="s">
        <v>42</v>
      </c>
      <c r="AE131" s="11" t="s">
        <v>11</v>
      </c>
      <c r="AF131" s="52">
        <v>1</v>
      </c>
      <c r="AG131" s="20" t="s">
        <v>201</v>
      </c>
      <c r="AH131" s="3" t="s">
        <v>42</v>
      </c>
      <c r="AI131" s="11" t="s">
        <v>11</v>
      </c>
      <c r="AJ131" s="52">
        <v>1</v>
      </c>
      <c r="AK131" s="20" t="s">
        <v>201</v>
      </c>
      <c r="AL131" s="3" t="s">
        <v>42</v>
      </c>
      <c r="AM131" s="11" t="s">
        <v>11</v>
      </c>
      <c r="AN131" s="52">
        <v>1</v>
      </c>
      <c r="AO131" s="20" t="s">
        <v>201</v>
      </c>
      <c r="AP131" s="3" t="s">
        <v>42</v>
      </c>
      <c r="AQ131" s="11" t="s">
        <v>11</v>
      </c>
      <c r="AR131" s="52">
        <v>1</v>
      </c>
      <c r="AS131" s="20" t="s">
        <v>201</v>
      </c>
      <c r="AT131" s="3" t="s">
        <v>42</v>
      </c>
      <c r="AU131" s="11" t="s">
        <v>11</v>
      </c>
      <c r="AV131" s="52">
        <v>1</v>
      </c>
      <c r="AW131" s="20" t="s">
        <v>201</v>
      </c>
      <c r="AX131" s="3" t="s">
        <v>42</v>
      </c>
      <c r="AY131" s="11" t="s">
        <v>11</v>
      </c>
      <c r="AZ131" s="52">
        <v>1</v>
      </c>
      <c r="BA131" s="20" t="s">
        <v>201</v>
      </c>
      <c r="BB131" s="3" t="s">
        <v>42</v>
      </c>
      <c r="BC131" s="11" t="s">
        <v>11</v>
      </c>
      <c r="BD131" s="52">
        <v>1</v>
      </c>
      <c r="BE131" s="20" t="s">
        <v>201</v>
      </c>
      <c r="BF131" s="3" t="s">
        <v>42</v>
      </c>
      <c r="BG131" s="11" t="s">
        <v>11</v>
      </c>
      <c r="BH131" s="52">
        <v>1</v>
      </c>
      <c r="BI131" s="20" t="s">
        <v>201</v>
      </c>
      <c r="BJ131" s="3" t="s">
        <v>42</v>
      </c>
      <c r="BK131" s="11" t="s">
        <v>11</v>
      </c>
      <c r="BL131" s="52">
        <v>1</v>
      </c>
      <c r="BM131" s="20" t="s">
        <v>201</v>
      </c>
      <c r="BN131" s="3" t="s">
        <v>42</v>
      </c>
      <c r="BO131" s="11" t="s">
        <v>11</v>
      </c>
      <c r="BP131" s="52">
        <v>1</v>
      </c>
      <c r="BQ131" s="20" t="s">
        <v>201</v>
      </c>
      <c r="BR131" s="3" t="s">
        <v>42</v>
      </c>
      <c r="BS131" s="11" t="s">
        <v>11</v>
      </c>
      <c r="BT131" s="154">
        <v>1</v>
      </c>
      <c r="BU131" s="20" t="s">
        <v>201</v>
      </c>
      <c r="BV131" s="3" t="s">
        <v>42</v>
      </c>
      <c r="BW131" s="11" t="s">
        <v>11</v>
      </c>
      <c r="BX131" s="52">
        <v>1</v>
      </c>
      <c r="BY131" s="253" t="e">
        <f>#REF!/BX131*100</f>
        <v>#REF!</v>
      </c>
      <c r="BZ131" s="20" t="s">
        <v>201</v>
      </c>
      <c r="CA131" s="3" t="s">
        <v>42</v>
      </c>
      <c r="CB131" s="11" t="s">
        <v>11</v>
      </c>
      <c r="CC131" s="52">
        <v>1</v>
      </c>
    </row>
    <row r="132" spans="1:81" ht="12.75" hidden="1">
      <c r="A132" s="20" t="s">
        <v>202</v>
      </c>
      <c r="B132" s="3" t="s">
        <v>90</v>
      </c>
      <c r="C132" s="11" t="s">
        <v>22</v>
      </c>
      <c r="D132" s="60">
        <f>L132+P132+T132+X132+AB132+AF132+AJ132+AN132+AR132+AV132+AZ132+BD132+BH132+BL132+BP132+BT132+BX132+CC132</f>
        <v>0</v>
      </c>
      <c r="E132" s="68" t="e">
        <f>#REF!+#REF!+#REF!+#REF!+#REF!+#REF!+#REF!+#REF!+#REF!+#REF!+#REF!+#REF!+#REF!+#REF!+#REF!+#REF!+#REF!+#REF!</f>
        <v>#REF!</v>
      </c>
      <c r="F132" s="77" t="e">
        <f>#REF!+#REF!+#REF!+#REF!+#REF!+#REF!+#REF!+#REF!+#REF!+#REF!+#REF!+#REF!+#REF!+#REF!+#REF!+#REF!+#REF!+#REF!</f>
        <v>#REF!</v>
      </c>
      <c r="G132" s="258"/>
      <c r="I132" s="20" t="s">
        <v>202</v>
      </c>
      <c r="J132" s="3" t="s">
        <v>90</v>
      </c>
      <c r="K132" s="11" t="s">
        <v>22</v>
      </c>
      <c r="L132" s="60"/>
      <c r="M132" s="20" t="s">
        <v>202</v>
      </c>
      <c r="N132" s="3" t="s">
        <v>90</v>
      </c>
      <c r="O132" s="11" t="s">
        <v>22</v>
      </c>
      <c r="P132" s="60"/>
      <c r="Q132" s="20" t="s">
        <v>202</v>
      </c>
      <c r="R132" s="3" t="s">
        <v>90</v>
      </c>
      <c r="S132" s="11" t="s">
        <v>22</v>
      </c>
      <c r="T132" s="60"/>
      <c r="U132" s="20" t="s">
        <v>202</v>
      </c>
      <c r="V132" s="3" t="s">
        <v>90</v>
      </c>
      <c r="W132" s="11" t="s">
        <v>22</v>
      </c>
      <c r="X132" s="60"/>
      <c r="Y132" s="20" t="s">
        <v>202</v>
      </c>
      <c r="Z132" s="3" t="s">
        <v>90</v>
      </c>
      <c r="AA132" s="11" t="s">
        <v>22</v>
      </c>
      <c r="AB132" s="60"/>
      <c r="AC132" s="20" t="s">
        <v>202</v>
      </c>
      <c r="AD132" s="3" t="s">
        <v>90</v>
      </c>
      <c r="AE132" s="11" t="s">
        <v>22</v>
      </c>
      <c r="AF132" s="60"/>
      <c r="AG132" s="20" t="s">
        <v>202</v>
      </c>
      <c r="AH132" s="3" t="s">
        <v>90</v>
      </c>
      <c r="AI132" s="11" t="s">
        <v>22</v>
      </c>
      <c r="AJ132" s="60"/>
      <c r="AK132" s="20" t="s">
        <v>202</v>
      </c>
      <c r="AL132" s="3" t="s">
        <v>90</v>
      </c>
      <c r="AM132" s="11" t="s">
        <v>22</v>
      </c>
      <c r="AN132" s="60"/>
      <c r="AO132" s="20" t="s">
        <v>202</v>
      </c>
      <c r="AP132" s="3" t="s">
        <v>90</v>
      </c>
      <c r="AQ132" s="11" t="s">
        <v>22</v>
      </c>
      <c r="AR132" s="60"/>
      <c r="AS132" s="20" t="s">
        <v>202</v>
      </c>
      <c r="AT132" s="3" t="s">
        <v>90</v>
      </c>
      <c r="AU132" s="11" t="s">
        <v>22</v>
      </c>
      <c r="AV132" s="60"/>
      <c r="AW132" s="20" t="s">
        <v>202</v>
      </c>
      <c r="AX132" s="3" t="s">
        <v>90</v>
      </c>
      <c r="AY132" s="11" t="s">
        <v>22</v>
      </c>
      <c r="AZ132" s="60"/>
      <c r="BA132" s="20" t="s">
        <v>202</v>
      </c>
      <c r="BB132" s="3" t="s">
        <v>90</v>
      </c>
      <c r="BC132" s="11" t="s">
        <v>22</v>
      </c>
      <c r="BD132" s="60"/>
      <c r="BE132" s="20" t="s">
        <v>202</v>
      </c>
      <c r="BF132" s="3" t="s">
        <v>90</v>
      </c>
      <c r="BG132" s="11" t="s">
        <v>22</v>
      </c>
      <c r="BH132" s="60"/>
      <c r="BI132" s="20" t="s">
        <v>202</v>
      </c>
      <c r="BJ132" s="3" t="s">
        <v>90</v>
      </c>
      <c r="BK132" s="11" t="s">
        <v>22</v>
      </c>
      <c r="BL132" s="60"/>
      <c r="BM132" s="20" t="s">
        <v>202</v>
      </c>
      <c r="BN132" s="3" t="s">
        <v>90</v>
      </c>
      <c r="BO132" s="11" t="s">
        <v>22</v>
      </c>
      <c r="BP132" s="60"/>
      <c r="BQ132" s="20" t="s">
        <v>202</v>
      </c>
      <c r="BR132" s="3" t="s">
        <v>90</v>
      </c>
      <c r="BS132" s="11" t="s">
        <v>22</v>
      </c>
      <c r="BT132" s="153"/>
      <c r="BU132" s="20" t="s">
        <v>202</v>
      </c>
      <c r="BV132" s="3" t="s">
        <v>90</v>
      </c>
      <c r="BW132" s="11" t="s">
        <v>22</v>
      </c>
      <c r="BX132" s="60"/>
      <c r="BY132" s="253"/>
      <c r="BZ132" s="20" t="s">
        <v>202</v>
      </c>
      <c r="CA132" s="3" t="s">
        <v>90</v>
      </c>
      <c r="CB132" s="11" t="s">
        <v>22</v>
      </c>
      <c r="CC132" s="60"/>
    </row>
    <row r="133" spans="1:81" ht="12.75">
      <c r="A133" s="20" t="s">
        <v>362</v>
      </c>
      <c r="B133" s="3" t="s">
        <v>43</v>
      </c>
      <c r="C133" s="11" t="s">
        <v>22</v>
      </c>
      <c r="D133" s="60">
        <f>L133+P133+T133+X133+AB133+AF133+AJ133+AN133+AR133+AV133+AZ133+BD133+BH133+BL133+BP133+BT133+BX133+CC133</f>
        <v>0.754</v>
      </c>
      <c r="E133" s="68" t="e">
        <f>#REF!+#REF!+#REF!+#REF!+#REF!+#REF!+#REF!+#REF!+#REF!+#REF!+#REF!+#REF!+#REF!+#REF!+#REF!+#REF!+#REF!+#REF!</f>
        <v>#REF!</v>
      </c>
      <c r="F133" s="77" t="e">
        <f>#REF!+#REF!+#REF!+#REF!+#REF!+#REF!+#REF!+#REF!+#REF!+#REF!+#REF!+#REF!+#REF!+#REF!+#REF!+#REF!+#REF!+#REF!</f>
        <v>#REF!</v>
      </c>
      <c r="G133" s="258" t="e">
        <f>E133/D133*100</f>
        <v>#REF!</v>
      </c>
      <c r="I133" s="20" t="s">
        <v>362</v>
      </c>
      <c r="J133" s="3" t="s">
        <v>43</v>
      </c>
      <c r="K133" s="11" t="s">
        <v>22</v>
      </c>
      <c r="L133" s="60">
        <v>0.054</v>
      </c>
      <c r="M133" s="20" t="s">
        <v>362</v>
      </c>
      <c r="N133" s="3" t="s">
        <v>43</v>
      </c>
      <c r="O133" s="11" t="s">
        <v>22</v>
      </c>
      <c r="P133" s="60">
        <v>0.081</v>
      </c>
      <c r="Q133" s="20" t="s">
        <v>362</v>
      </c>
      <c r="R133" s="3" t="s">
        <v>43</v>
      </c>
      <c r="S133" s="11" t="s">
        <v>22</v>
      </c>
      <c r="T133" s="60">
        <v>0.032</v>
      </c>
      <c r="U133" s="20" t="s">
        <v>362</v>
      </c>
      <c r="V133" s="3" t="s">
        <v>43</v>
      </c>
      <c r="W133" s="11" t="s">
        <v>22</v>
      </c>
      <c r="X133" s="60">
        <v>0.025</v>
      </c>
      <c r="Y133" s="20" t="s">
        <v>362</v>
      </c>
      <c r="Z133" s="3" t="s">
        <v>43</v>
      </c>
      <c r="AA133" s="11" t="s">
        <v>22</v>
      </c>
      <c r="AB133" s="60">
        <v>0.032</v>
      </c>
      <c r="AC133" s="20" t="s">
        <v>362</v>
      </c>
      <c r="AD133" s="3" t="s">
        <v>43</v>
      </c>
      <c r="AE133" s="11" t="s">
        <v>22</v>
      </c>
      <c r="AF133" s="60">
        <v>0.016</v>
      </c>
      <c r="AG133" s="20" t="s">
        <v>362</v>
      </c>
      <c r="AH133" s="3" t="s">
        <v>43</v>
      </c>
      <c r="AI133" s="11" t="s">
        <v>22</v>
      </c>
      <c r="AJ133" s="60">
        <v>0.081</v>
      </c>
      <c r="AK133" s="20" t="s">
        <v>362</v>
      </c>
      <c r="AL133" s="3" t="s">
        <v>43</v>
      </c>
      <c r="AM133" s="11" t="s">
        <v>22</v>
      </c>
      <c r="AN133" s="60">
        <v>0.081</v>
      </c>
      <c r="AO133" s="20" t="s">
        <v>362</v>
      </c>
      <c r="AP133" s="3" t="s">
        <v>43</v>
      </c>
      <c r="AQ133" s="11" t="s">
        <v>22</v>
      </c>
      <c r="AR133" s="60">
        <v>0.064</v>
      </c>
      <c r="AS133" s="20" t="s">
        <v>362</v>
      </c>
      <c r="AT133" s="3" t="s">
        <v>43</v>
      </c>
      <c r="AU133" s="11" t="s">
        <v>22</v>
      </c>
      <c r="AV133" s="60">
        <v>0.081</v>
      </c>
      <c r="AW133" s="20" t="s">
        <v>362</v>
      </c>
      <c r="AX133" s="3" t="s">
        <v>43</v>
      </c>
      <c r="AY133" s="11" t="s">
        <v>22</v>
      </c>
      <c r="AZ133" s="60">
        <v>0.081</v>
      </c>
      <c r="BA133" s="20" t="s">
        <v>362</v>
      </c>
      <c r="BB133" s="3" t="s">
        <v>43</v>
      </c>
      <c r="BC133" s="11" t="s">
        <v>22</v>
      </c>
      <c r="BD133" s="60">
        <v>0.03</v>
      </c>
      <c r="BE133" s="20" t="s">
        <v>362</v>
      </c>
      <c r="BF133" s="3" t="s">
        <v>43</v>
      </c>
      <c r="BG133" s="11" t="s">
        <v>22</v>
      </c>
      <c r="BH133" s="60"/>
      <c r="BI133" s="20" t="s">
        <v>362</v>
      </c>
      <c r="BJ133" s="3" t="s">
        <v>43</v>
      </c>
      <c r="BK133" s="11" t="s">
        <v>22</v>
      </c>
      <c r="BL133" s="60"/>
      <c r="BM133" s="20" t="s">
        <v>362</v>
      </c>
      <c r="BN133" s="3" t="s">
        <v>43</v>
      </c>
      <c r="BO133" s="11" t="s">
        <v>22</v>
      </c>
      <c r="BP133" s="60">
        <v>0.081</v>
      </c>
      <c r="BQ133" s="20" t="s">
        <v>362</v>
      </c>
      <c r="BR133" s="3" t="s">
        <v>43</v>
      </c>
      <c r="BS133" s="11" t="s">
        <v>22</v>
      </c>
      <c r="BT133" s="153"/>
      <c r="BU133" s="20" t="s">
        <v>362</v>
      </c>
      <c r="BV133" s="3" t="s">
        <v>43</v>
      </c>
      <c r="BW133" s="11" t="s">
        <v>22</v>
      </c>
      <c r="BX133" s="60">
        <v>0.015</v>
      </c>
      <c r="BY133" s="253" t="e">
        <f>#REF!/BX133*100</f>
        <v>#REF!</v>
      </c>
      <c r="BZ133" s="20" t="s">
        <v>362</v>
      </c>
      <c r="CA133" s="3" t="s">
        <v>43</v>
      </c>
      <c r="CB133" s="11" t="s">
        <v>22</v>
      </c>
      <c r="CC133" s="60"/>
    </row>
    <row r="134" spans="1:81" ht="15.75">
      <c r="A134" s="39"/>
      <c r="B134" s="41" t="s">
        <v>216</v>
      </c>
      <c r="C134" s="43"/>
      <c r="D134" s="40"/>
      <c r="E134" s="264"/>
      <c r="F134" s="106" t="e">
        <f>SUM(F129:F133)</f>
        <v>#REF!</v>
      </c>
      <c r="G134" s="263"/>
      <c r="I134" s="39"/>
      <c r="J134" s="41" t="s">
        <v>216</v>
      </c>
      <c r="K134" s="43"/>
      <c r="L134" s="160"/>
      <c r="M134" s="39"/>
      <c r="N134" s="41" t="s">
        <v>216</v>
      </c>
      <c r="O134" s="43"/>
      <c r="P134" s="160"/>
      <c r="Q134" s="39"/>
      <c r="R134" s="41" t="s">
        <v>216</v>
      </c>
      <c r="S134" s="43"/>
      <c r="T134" s="40"/>
      <c r="U134" s="39"/>
      <c r="V134" s="41" t="s">
        <v>216</v>
      </c>
      <c r="W134" s="43"/>
      <c r="X134" s="40"/>
      <c r="Y134" s="39"/>
      <c r="Z134" s="41" t="s">
        <v>216</v>
      </c>
      <c r="AA134" s="43"/>
      <c r="AB134" s="40"/>
      <c r="AC134" s="39"/>
      <c r="AD134" s="41" t="s">
        <v>216</v>
      </c>
      <c r="AE134" s="43"/>
      <c r="AF134" s="40"/>
      <c r="AG134" s="39"/>
      <c r="AH134" s="41" t="s">
        <v>216</v>
      </c>
      <c r="AI134" s="43"/>
      <c r="AJ134" s="40"/>
      <c r="AK134" s="39"/>
      <c r="AL134" s="41" t="s">
        <v>216</v>
      </c>
      <c r="AM134" s="43"/>
      <c r="AN134" s="40"/>
      <c r="AO134" s="39"/>
      <c r="AP134" s="41" t="s">
        <v>216</v>
      </c>
      <c r="AQ134" s="43"/>
      <c r="AR134" s="40"/>
      <c r="AS134" s="39"/>
      <c r="AT134" s="41" t="s">
        <v>216</v>
      </c>
      <c r="AU134" s="43"/>
      <c r="AV134" s="40"/>
      <c r="AW134" s="39"/>
      <c r="AX134" s="41" t="s">
        <v>216</v>
      </c>
      <c r="AY134" s="43"/>
      <c r="AZ134" s="40"/>
      <c r="BA134" s="39"/>
      <c r="BB134" s="41" t="s">
        <v>216</v>
      </c>
      <c r="BC134" s="43"/>
      <c r="BD134" s="40"/>
      <c r="BE134" s="39"/>
      <c r="BF134" s="41" t="s">
        <v>216</v>
      </c>
      <c r="BG134" s="43"/>
      <c r="BH134" s="40"/>
      <c r="BI134" s="39"/>
      <c r="BJ134" s="41" t="s">
        <v>216</v>
      </c>
      <c r="BK134" s="43"/>
      <c r="BL134" s="40"/>
      <c r="BM134" s="39"/>
      <c r="BN134" s="41" t="s">
        <v>216</v>
      </c>
      <c r="BO134" s="43"/>
      <c r="BP134" s="40"/>
      <c r="BQ134" s="39"/>
      <c r="BR134" s="41" t="s">
        <v>216</v>
      </c>
      <c r="BS134" s="43"/>
      <c r="BT134" s="40"/>
      <c r="BU134" s="39"/>
      <c r="BV134" s="41" t="s">
        <v>216</v>
      </c>
      <c r="BW134" s="43"/>
      <c r="BX134" s="40"/>
      <c r="BY134" s="247"/>
      <c r="BZ134" s="39"/>
      <c r="CA134" s="41" t="s">
        <v>216</v>
      </c>
      <c r="CB134" s="43"/>
      <c r="CC134" s="40"/>
    </row>
    <row r="135" spans="1:81" ht="15" hidden="1">
      <c r="A135" s="20" t="s">
        <v>203</v>
      </c>
      <c r="B135" s="3" t="s">
        <v>52</v>
      </c>
      <c r="C135" s="12" t="s">
        <v>11</v>
      </c>
      <c r="D135" s="52">
        <f>L135+P135+T135+X135+AB135+AF135+AJ135+AN135+AR135+AV135+AZ135+BD135+BH135+BL135+BP135+BT135+BX135+CC135</f>
        <v>0</v>
      </c>
      <c r="E135" s="68" t="e">
        <f>#REF!+#REF!+#REF!+#REF!+#REF!+#REF!+#REF!+#REF!+#REF!+#REF!+#REF!+#REF!+#REF!+#REF!+#REF!+#REF!+#REF!+#REF!</f>
        <v>#REF!</v>
      </c>
      <c r="F135" s="77" t="e">
        <f>#REF!+#REF!+#REF!+#REF!+#REF!+#REF!+#REF!+#REF!+#REF!+#REF!+#REF!+#REF!+#REF!+#REF!+#REF!+#REF!+#REF!+#REF!</f>
        <v>#REF!</v>
      </c>
      <c r="G135" s="258"/>
      <c r="I135" s="20" t="s">
        <v>203</v>
      </c>
      <c r="J135" s="3" t="s">
        <v>52</v>
      </c>
      <c r="K135" s="12" t="s">
        <v>11</v>
      </c>
      <c r="L135" s="52"/>
      <c r="M135" s="20" t="s">
        <v>203</v>
      </c>
      <c r="N135" s="3" t="s">
        <v>52</v>
      </c>
      <c r="O135" s="12" t="s">
        <v>11</v>
      </c>
      <c r="P135" s="52"/>
      <c r="Q135" s="20" t="s">
        <v>203</v>
      </c>
      <c r="R135" s="3" t="s">
        <v>52</v>
      </c>
      <c r="S135" s="12" t="s">
        <v>11</v>
      </c>
      <c r="T135" s="52"/>
      <c r="U135" s="20" t="s">
        <v>203</v>
      </c>
      <c r="V135" s="3" t="s">
        <v>52</v>
      </c>
      <c r="W135" s="12" t="s">
        <v>11</v>
      </c>
      <c r="X135" s="52"/>
      <c r="Y135" s="20" t="s">
        <v>203</v>
      </c>
      <c r="Z135" s="3" t="s">
        <v>52</v>
      </c>
      <c r="AA135" s="12" t="s">
        <v>11</v>
      </c>
      <c r="AB135" s="52"/>
      <c r="AC135" s="20" t="s">
        <v>203</v>
      </c>
      <c r="AD135" s="3" t="s">
        <v>52</v>
      </c>
      <c r="AE135" s="12" t="s">
        <v>11</v>
      </c>
      <c r="AF135" s="52"/>
      <c r="AG135" s="20" t="s">
        <v>203</v>
      </c>
      <c r="AH135" s="3" t="s">
        <v>52</v>
      </c>
      <c r="AI135" s="12" t="s">
        <v>11</v>
      </c>
      <c r="AJ135" s="52"/>
      <c r="AK135" s="20" t="s">
        <v>203</v>
      </c>
      <c r="AL135" s="3" t="s">
        <v>52</v>
      </c>
      <c r="AM135" s="12" t="s">
        <v>11</v>
      </c>
      <c r="AN135" s="52"/>
      <c r="AO135" s="20" t="s">
        <v>203</v>
      </c>
      <c r="AP135" s="3" t="s">
        <v>52</v>
      </c>
      <c r="AQ135" s="12" t="s">
        <v>11</v>
      </c>
      <c r="AR135" s="52"/>
      <c r="AS135" s="20" t="s">
        <v>203</v>
      </c>
      <c r="AT135" s="3" t="s">
        <v>52</v>
      </c>
      <c r="AU135" s="12" t="s">
        <v>11</v>
      </c>
      <c r="AV135" s="52"/>
      <c r="AW135" s="20" t="s">
        <v>203</v>
      </c>
      <c r="AX135" s="3" t="s">
        <v>52</v>
      </c>
      <c r="AY135" s="12" t="s">
        <v>11</v>
      </c>
      <c r="AZ135" s="52"/>
      <c r="BA135" s="20" t="s">
        <v>203</v>
      </c>
      <c r="BB135" s="3" t="s">
        <v>52</v>
      </c>
      <c r="BC135" s="12" t="s">
        <v>11</v>
      </c>
      <c r="BD135" s="154"/>
      <c r="BE135" s="20" t="s">
        <v>203</v>
      </c>
      <c r="BF135" s="3" t="s">
        <v>52</v>
      </c>
      <c r="BG135" s="12" t="s">
        <v>11</v>
      </c>
      <c r="BH135" s="52"/>
      <c r="BI135" s="20" t="s">
        <v>203</v>
      </c>
      <c r="BJ135" s="3" t="s">
        <v>52</v>
      </c>
      <c r="BK135" s="12" t="s">
        <v>11</v>
      </c>
      <c r="BL135" s="52"/>
      <c r="BM135" s="20" t="s">
        <v>203</v>
      </c>
      <c r="BN135" s="3" t="s">
        <v>52</v>
      </c>
      <c r="BO135" s="12" t="s">
        <v>11</v>
      </c>
      <c r="BP135" s="52"/>
      <c r="BQ135" s="20" t="s">
        <v>203</v>
      </c>
      <c r="BR135" s="3" t="s">
        <v>52</v>
      </c>
      <c r="BS135" s="12" t="s">
        <v>11</v>
      </c>
      <c r="BT135" s="154"/>
      <c r="BU135" s="20" t="s">
        <v>203</v>
      </c>
      <c r="BV135" s="3" t="s">
        <v>52</v>
      </c>
      <c r="BW135" s="12" t="s">
        <v>11</v>
      </c>
      <c r="BX135" s="52"/>
      <c r="BY135" s="246"/>
      <c r="BZ135" s="20" t="s">
        <v>203</v>
      </c>
      <c r="CA135" s="3" t="s">
        <v>52</v>
      </c>
      <c r="CB135" s="12" t="s">
        <v>11</v>
      </c>
      <c r="CC135" s="52"/>
    </row>
    <row r="136" spans="1:81" ht="15" customHeight="1" hidden="1">
      <c r="A136" s="20" t="s">
        <v>204</v>
      </c>
      <c r="B136" s="3" t="s">
        <v>55</v>
      </c>
      <c r="C136" s="12" t="s">
        <v>11</v>
      </c>
      <c r="D136" s="52">
        <f>L136+P136+T136+X136+AB136+AF136+AJ136+AN136+AR136+AV136+AZ136+BD136+BH136+BL136+BP136+BT136+BX136+CC136</f>
        <v>0</v>
      </c>
      <c r="E136" s="68" t="e">
        <f>#REF!+#REF!+#REF!+#REF!+#REF!+#REF!+#REF!+#REF!+#REF!+#REF!+#REF!+#REF!+#REF!+#REF!+#REF!+#REF!+#REF!+#REF!</f>
        <v>#REF!</v>
      </c>
      <c r="F136" s="77" t="e">
        <f>#REF!+#REF!+#REF!+#REF!+#REF!+#REF!+#REF!+#REF!+#REF!+#REF!+#REF!+#REF!+#REF!+#REF!+#REF!+#REF!+#REF!+#REF!</f>
        <v>#REF!</v>
      </c>
      <c r="G136" s="258"/>
      <c r="I136" s="20" t="s">
        <v>204</v>
      </c>
      <c r="J136" s="3" t="s">
        <v>55</v>
      </c>
      <c r="K136" s="12" t="s">
        <v>11</v>
      </c>
      <c r="L136" s="52"/>
      <c r="M136" s="20" t="s">
        <v>204</v>
      </c>
      <c r="N136" s="3" t="s">
        <v>55</v>
      </c>
      <c r="O136" s="12" t="s">
        <v>11</v>
      </c>
      <c r="P136" s="52"/>
      <c r="Q136" s="20" t="s">
        <v>204</v>
      </c>
      <c r="R136" s="3" t="s">
        <v>55</v>
      </c>
      <c r="S136" s="12" t="s">
        <v>11</v>
      </c>
      <c r="T136" s="52"/>
      <c r="U136" s="20" t="s">
        <v>204</v>
      </c>
      <c r="V136" s="3" t="s">
        <v>55</v>
      </c>
      <c r="W136" s="12" t="s">
        <v>11</v>
      </c>
      <c r="X136" s="52"/>
      <c r="Y136" s="20" t="s">
        <v>204</v>
      </c>
      <c r="Z136" s="3" t="s">
        <v>55</v>
      </c>
      <c r="AA136" s="12" t="s">
        <v>11</v>
      </c>
      <c r="AB136" s="52"/>
      <c r="AC136" s="20" t="s">
        <v>204</v>
      </c>
      <c r="AD136" s="3" t="s">
        <v>55</v>
      </c>
      <c r="AE136" s="12" t="s">
        <v>11</v>
      </c>
      <c r="AF136" s="52"/>
      <c r="AG136" s="20" t="s">
        <v>204</v>
      </c>
      <c r="AH136" s="3" t="s">
        <v>55</v>
      </c>
      <c r="AI136" s="12" t="s">
        <v>11</v>
      </c>
      <c r="AJ136" s="52"/>
      <c r="AK136" s="20" t="s">
        <v>204</v>
      </c>
      <c r="AL136" s="3" t="s">
        <v>55</v>
      </c>
      <c r="AM136" s="12" t="s">
        <v>11</v>
      </c>
      <c r="AN136" s="52"/>
      <c r="AO136" s="20" t="s">
        <v>204</v>
      </c>
      <c r="AP136" s="3" t="s">
        <v>55</v>
      </c>
      <c r="AQ136" s="12" t="s">
        <v>11</v>
      </c>
      <c r="AR136" s="52"/>
      <c r="AS136" s="20" t="s">
        <v>204</v>
      </c>
      <c r="AT136" s="3" t="s">
        <v>55</v>
      </c>
      <c r="AU136" s="12" t="s">
        <v>11</v>
      </c>
      <c r="AV136" s="52"/>
      <c r="AW136" s="20" t="s">
        <v>204</v>
      </c>
      <c r="AX136" s="3" t="s">
        <v>55</v>
      </c>
      <c r="AY136" s="12" t="s">
        <v>11</v>
      </c>
      <c r="AZ136" s="52"/>
      <c r="BA136" s="20" t="s">
        <v>204</v>
      </c>
      <c r="BB136" s="3" t="s">
        <v>55</v>
      </c>
      <c r="BC136" s="12" t="s">
        <v>11</v>
      </c>
      <c r="BD136" s="154"/>
      <c r="BE136" s="20" t="s">
        <v>204</v>
      </c>
      <c r="BF136" s="3" t="s">
        <v>55</v>
      </c>
      <c r="BG136" s="12" t="s">
        <v>11</v>
      </c>
      <c r="BH136" s="52"/>
      <c r="BI136" s="20" t="s">
        <v>204</v>
      </c>
      <c r="BJ136" s="3" t="s">
        <v>55</v>
      </c>
      <c r="BK136" s="12" t="s">
        <v>11</v>
      </c>
      <c r="BL136" s="52"/>
      <c r="BM136" s="20" t="s">
        <v>204</v>
      </c>
      <c r="BN136" s="3" t="s">
        <v>55</v>
      </c>
      <c r="BO136" s="12" t="s">
        <v>11</v>
      </c>
      <c r="BP136" s="52"/>
      <c r="BQ136" s="20" t="s">
        <v>204</v>
      </c>
      <c r="BR136" s="3" t="s">
        <v>55</v>
      </c>
      <c r="BS136" s="12" t="s">
        <v>11</v>
      </c>
      <c r="BT136" s="154"/>
      <c r="BU136" s="20" t="s">
        <v>204</v>
      </c>
      <c r="BV136" s="3" t="s">
        <v>55</v>
      </c>
      <c r="BW136" s="12" t="s">
        <v>11</v>
      </c>
      <c r="BX136" s="52"/>
      <c r="BY136" s="246"/>
      <c r="BZ136" s="20" t="s">
        <v>204</v>
      </c>
      <c r="CA136" s="3" t="s">
        <v>55</v>
      </c>
      <c r="CB136" s="12" t="s">
        <v>11</v>
      </c>
      <c r="CC136" s="52"/>
    </row>
    <row r="137" spans="1:81" ht="15" hidden="1">
      <c r="A137" s="20" t="s">
        <v>205</v>
      </c>
      <c r="B137" s="3" t="s">
        <v>57</v>
      </c>
      <c r="C137" s="12" t="s">
        <v>11</v>
      </c>
      <c r="D137" s="52">
        <f>L137+P137+T137+X137+AB137+AF137+AJ137+AN137+AR137+AV137+AZ137+BD137+BH137+BL137+BP137+BT137+BX137+CC137</f>
        <v>0</v>
      </c>
      <c r="E137" s="68" t="e">
        <f>#REF!+#REF!+#REF!+#REF!+#REF!+#REF!+#REF!+#REF!+#REF!+#REF!+#REF!+#REF!+#REF!+#REF!+#REF!+#REF!+#REF!+#REF!</f>
        <v>#REF!</v>
      </c>
      <c r="F137" s="77" t="e">
        <f>#REF!+#REF!+#REF!+#REF!+#REF!+#REF!+#REF!+#REF!+#REF!+#REF!+#REF!+#REF!+#REF!+#REF!+#REF!+#REF!+#REF!+#REF!</f>
        <v>#REF!</v>
      </c>
      <c r="G137" s="258"/>
      <c r="I137" s="20" t="s">
        <v>205</v>
      </c>
      <c r="J137" s="3" t="s">
        <v>57</v>
      </c>
      <c r="K137" s="12" t="s">
        <v>11</v>
      </c>
      <c r="L137" s="52"/>
      <c r="M137" s="20" t="s">
        <v>205</v>
      </c>
      <c r="N137" s="3" t="s">
        <v>57</v>
      </c>
      <c r="O137" s="12" t="s">
        <v>11</v>
      </c>
      <c r="P137" s="52"/>
      <c r="Q137" s="20" t="s">
        <v>205</v>
      </c>
      <c r="R137" s="3" t="s">
        <v>57</v>
      </c>
      <c r="S137" s="12" t="s">
        <v>11</v>
      </c>
      <c r="T137" s="52"/>
      <c r="U137" s="20" t="s">
        <v>205</v>
      </c>
      <c r="V137" s="3" t="s">
        <v>57</v>
      </c>
      <c r="W137" s="12" t="s">
        <v>11</v>
      </c>
      <c r="X137" s="52"/>
      <c r="Y137" s="20" t="s">
        <v>205</v>
      </c>
      <c r="Z137" s="3" t="s">
        <v>57</v>
      </c>
      <c r="AA137" s="12" t="s">
        <v>11</v>
      </c>
      <c r="AB137" s="52"/>
      <c r="AC137" s="20" t="s">
        <v>205</v>
      </c>
      <c r="AD137" s="3" t="s">
        <v>57</v>
      </c>
      <c r="AE137" s="12" t="s">
        <v>11</v>
      </c>
      <c r="AF137" s="52"/>
      <c r="AG137" s="20" t="s">
        <v>205</v>
      </c>
      <c r="AH137" s="3" t="s">
        <v>57</v>
      </c>
      <c r="AI137" s="12" t="s">
        <v>11</v>
      </c>
      <c r="AJ137" s="52"/>
      <c r="AK137" s="20" t="s">
        <v>205</v>
      </c>
      <c r="AL137" s="3" t="s">
        <v>57</v>
      </c>
      <c r="AM137" s="12" t="s">
        <v>11</v>
      </c>
      <c r="AN137" s="52"/>
      <c r="AO137" s="20" t="s">
        <v>205</v>
      </c>
      <c r="AP137" s="3" t="s">
        <v>57</v>
      </c>
      <c r="AQ137" s="12" t="s">
        <v>11</v>
      </c>
      <c r="AR137" s="52"/>
      <c r="AS137" s="20" t="s">
        <v>205</v>
      </c>
      <c r="AT137" s="3" t="s">
        <v>57</v>
      </c>
      <c r="AU137" s="12" t="s">
        <v>11</v>
      </c>
      <c r="AV137" s="52"/>
      <c r="AW137" s="20" t="s">
        <v>205</v>
      </c>
      <c r="AX137" s="3" t="s">
        <v>57</v>
      </c>
      <c r="AY137" s="12" t="s">
        <v>11</v>
      </c>
      <c r="AZ137" s="52"/>
      <c r="BA137" s="20" t="s">
        <v>205</v>
      </c>
      <c r="BB137" s="3" t="s">
        <v>57</v>
      </c>
      <c r="BC137" s="12" t="s">
        <v>11</v>
      </c>
      <c r="BD137" s="154"/>
      <c r="BE137" s="20" t="s">
        <v>205</v>
      </c>
      <c r="BF137" s="3" t="s">
        <v>57</v>
      </c>
      <c r="BG137" s="12" t="s">
        <v>11</v>
      </c>
      <c r="BH137" s="52"/>
      <c r="BI137" s="20" t="s">
        <v>205</v>
      </c>
      <c r="BJ137" s="3" t="s">
        <v>57</v>
      </c>
      <c r="BK137" s="12" t="s">
        <v>11</v>
      </c>
      <c r="BL137" s="52"/>
      <c r="BM137" s="20" t="s">
        <v>205</v>
      </c>
      <c r="BN137" s="3" t="s">
        <v>57</v>
      </c>
      <c r="BO137" s="12" t="s">
        <v>11</v>
      </c>
      <c r="BP137" s="52"/>
      <c r="BQ137" s="20" t="s">
        <v>205</v>
      </c>
      <c r="BR137" s="3" t="s">
        <v>57</v>
      </c>
      <c r="BS137" s="12" t="s">
        <v>11</v>
      </c>
      <c r="BT137" s="154"/>
      <c r="BU137" s="20" t="s">
        <v>205</v>
      </c>
      <c r="BV137" s="3" t="s">
        <v>57</v>
      </c>
      <c r="BW137" s="12" t="s">
        <v>11</v>
      </c>
      <c r="BX137" s="52"/>
      <c r="BY137" s="246"/>
      <c r="BZ137" s="20" t="s">
        <v>205</v>
      </c>
      <c r="CA137" s="3" t="s">
        <v>57</v>
      </c>
      <c r="CB137" s="12" t="s">
        <v>11</v>
      </c>
      <c r="CC137" s="52"/>
    </row>
    <row r="138" spans="1:81" ht="15.75" hidden="1">
      <c r="A138" s="39"/>
      <c r="B138" s="41" t="s">
        <v>27</v>
      </c>
      <c r="C138" s="43"/>
      <c r="D138" s="40"/>
      <c r="E138" s="247"/>
      <c r="F138" s="247" t="e">
        <f>SUM(F135:F137)</f>
        <v>#REF!</v>
      </c>
      <c r="G138" s="263"/>
      <c r="I138" s="39"/>
      <c r="J138" s="41" t="s">
        <v>27</v>
      </c>
      <c r="K138" s="43"/>
      <c r="L138" s="160"/>
      <c r="M138" s="39"/>
      <c r="N138" s="41" t="s">
        <v>27</v>
      </c>
      <c r="O138" s="43"/>
      <c r="P138" s="160"/>
      <c r="Q138" s="39"/>
      <c r="R138" s="41" t="s">
        <v>27</v>
      </c>
      <c r="S138" s="43"/>
      <c r="T138" s="40"/>
      <c r="U138" s="39"/>
      <c r="V138" s="41" t="s">
        <v>27</v>
      </c>
      <c r="W138" s="43"/>
      <c r="X138" s="40"/>
      <c r="Y138" s="39"/>
      <c r="Z138" s="41" t="s">
        <v>27</v>
      </c>
      <c r="AA138" s="43"/>
      <c r="AB138" s="40"/>
      <c r="AC138" s="39"/>
      <c r="AD138" s="41" t="s">
        <v>27</v>
      </c>
      <c r="AE138" s="43"/>
      <c r="AF138" s="40"/>
      <c r="AG138" s="39"/>
      <c r="AH138" s="41" t="s">
        <v>27</v>
      </c>
      <c r="AI138" s="43"/>
      <c r="AJ138" s="40"/>
      <c r="AK138" s="39"/>
      <c r="AL138" s="41" t="s">
        <v>27</v>
      </c>
      <c r="AM138" s="43"/>
      <c r="AN138" s="40"/>
      <c r="AO138" s="39"/>
      <c r="AP138" s="41" t="s">
        <v>27</v>
      </c>
      <c r="AQ138" s="43"/>
      <c r="AR138" s="40"/>
      <c r="AS138" s="39"/>
      <c r="AT138" s="41" t="s">
        <v>27</v>
      </c>
      <c r="AU138" s="43"/>
      <c r="AV138" s="40"/>
      <c r="AW138" s="39"/>
      <c r="AX138" s="41" t="s">
        <v>27</v>
      </c>
      <c r="AY138" s="43"/>
      <c r="AZ138" s="40"/>
      <c r="BA138" s="39"/>
      <c r="BB138" s="41" t="s">
        <v>27</v>
      </c>
      <c r="BC138" s="43"/>
      <c r="BD138" s="40"/>
      <c r="BE138" s="39"/>
      <c r="BF138" s="41" t="s">
        <v>27</v>
      </c>
      <c r="BG138" s="43"/>
      <c r="BH138" s="40"/>
      <c r="BI138" s="39"/>
      <c r="BJ138" s="41" t="s">
        <v>27</v>
      </c>
      <c r="BK138" s="43"/>
      <c r="BL138" s="40"/>
      <c r="BM138" s="39"/>
      <c r="BN138" s="41" t="s">
        <v>27</v>
      </c>
      <c r="BO138" s="43"/>
      <c r="BP138" s="273"/>
      <c r="BQ138" s="39"/>
      <c r="BR138" s="41" t="s">
        <v>27</v>
      </c>
      <c r="BS138" s="43"/>
      <c r="BT138" s="40"/>
      <c r="BU138" s="39"/>
      <c r="BV138" s="41" t="s">
        <v>27</v>
      </c>
      <c r="BW138" s="43"/>
      <c r="BX138" s="40"/>
      <c r="BY138" s="247">
        <f>SUM(BY135:BY137)</f>
        <v>0</v>
      </c>
      <c r="BZ138" s="39"/>
      <c r="CA138" s="41" t="s">
        <v>27</v>
      </c>
      <c r="CB138" s="43"/>
      <c r="CC138" s="40"/>
    </row>
    <row r="139" spans="1:81" ht="40.5" customHeight="1">
      <c r="A139" s="15"/>
      <c r="B139" s="16" t="s">
        <v>59</v>
      </c>
      <c r="C139" s="15"/>
      <c r="D139" s="18" t="s">
        <v>77</v>
      </c>
      <c r="E139" s="18"/>
      <c r="F139" s="18" t="s">
        <v>78</v>
      </c>
      <c r="G139" s="78"/>
      <c r="H139" s="117" t="s">
        <v>302</v>
      </c>
      <c r="I139" s="15"/>
      <c r="J139" s="16" t="s">
        <v>59</v>
      </c>
      <c r="K139" s="15"/>
      <c r="L139" s="18" t="s">
        <v>77</v>
      </c>
      <c r="M139" s="15"/>
      <c r="N139" s="16" t="s">
        <v>59</v>
      </c>
      <c r="O139" s="15"/>
      <c r="P139" s="18" t="s">
        <v>77</v>
      </c>
      <c r="Q139" s="15"/>
      <c r="R139" s="16" t="s">
        <v>59</v>
      </c>
      <c r="S139" s="15"/>
      <c r="T139" s="18" t="s">
        <v>77</v>
      </c>
      <c r="U139" s="15"/>
      <c r="V139" s="16" t="s">
        <v>59</v>
      </c>
      <c r="W139" s="15"/>
      <c r="X139" s="18" t="s">
        <v>77</v>
      </c>
      <c r="Y139" s="15"/>
      <c r="Z139" s="16" t="s">
        <v>59</v>
      </c>
      <c r="AA139" s="15"/>
      <c r="AB139" s="18" t="s">
        <v>77</v>
      </c>
      <c r="AC139" s="15"/>
      <c r="AD139" s="16" t="s">
        <v>59</v>
      </c>
      <c r="AE139" s="15"/>
      <c r="AF139" s="18" t="s">
        <v>77</v>
      </c>
      <c r="AG139" s="15"/>
      <c r="AH139" s="16" t="s">
        <v>59</v>
      </c>
      <c r="AI139" s="15"/>
      <c r="AJ139" s="18" t="s">
        <v>77</v>
      </c>
      <c r="AK139" s="15"/>
      <c r="AL139" s="16" t="s">
        <v>59</v>
      </c>
      <c r="AM139" s="15"/>
      <c r="AN139" s="18" t="s">
        <v>77</v>
      </c>
      <c r="AO139" s="15"/>
      <c r="AP139" s="16" t="s">
        <v>59</v>
      </c>
      <c r="AQ139" s="15"/>
      <c r="AR139" s="18" t="s">
        <v>77</v>
      </c>
      <c r="AS139" s="15"/>
      <c r="AT139" s="16" t="s">
        <v>59</v>
      </c>
      <c r="AU139" s="15"/>
      <c r="AV139" s="18" t="s">
        <v>77</v>
      </c>
      <c r="AW139" s="15"/>
      <c r="AX139" s="16" t="s">
        <v>59</v>
      </c>
      <c r="AY139" s="15"/>
      <c r="AZ139" s="18" t="s">
        <v>77</v>
      </c>
      <c r="BA139" s="15"/>
      <c r="BB139" s="16" t="s">
        <v>59</v>
      </c>
      <c r="BC139" s="15"/>
      <c r="BD139" s="18" t="s">
        <v>77</v>
      </c>
      <c r="BE139" s="15"/>
      <c r="BF139" s="16" t="s">
        <v>59</v>
      </c>
      <c r="BG139" s="15"/>
      <c r="BH139" s="18" t="s">
        <v>77</v>
      </c>
      <c r="BI139" s="15"/>
      <c r="BJ139" s="16" t="s">
        <v>59</v>
      </c>
      <c r="BK139" s="15"/>
      <c r="BL139" s="18" t="s">
        <v>77</v>
      </c>
      <c r="BM139" s="15"/>
      <c r="BN139" s="16" t="s">
        <v>59</v>
      </c>
      <c r="BO139" s="15"/>
      <c r="BP139" s="18" t="s">
        <v>77</v>
      </c>
      <c r="BQ139" s="15"/>
      <c r="BR139" s="16" t="s">
        <v>59</v>
      </c>
      <c r="BS139" s="15"/>
      <c r="BT139" s="18" t="s">
        <v>77</v>
      </c>
      <c r="BU139" s="15"/>
      <c r="BV139" s="16" t="s">
        <v>59</v>
      </c>
      <c r="BW139" s="15"/>
      <c r="BX139" s="18" t="s">
        <v>77</v>
      </c>
      <c r="BY139" s="117" t="s">
        <v>302</v>
      </c>
      <c r="BZ139" s="15"/>
      <c r="CA139" s="16" t="s">
        <v>59</v>
      </c>
      <c r="CB139" s="15"/>
      <c r="CC139" s="18" t="s">
        <v>77</v>
      </c>
    </row>
    <row r="140" spans="1:82" ht="15">
      <c r="A140" s="14">
        <v>1</v>
      </c>
      <c r="B140" s="14" t="s">
        <v>60</v>
      </c>
      <c r="C140" s="12" t="s">
        <v>25</v>
      </c>
      <c r="D140" s="655">
        <f>L140+P140+T140+X140+AB140+AF140+AJ140+AN140+AR140+AV140+AZ140+BD140+BH140+BL140+BP140+BT140+BX140+CC140</f>
        <v>7151.474069999999</v>
      </c>
      <c r="E140" s="276">
        <v>4782.5</v>
      </c>
      <c r="F140" s="19" t="e">
        <f>F51+F63+F87+F102</f>
        <v>#REF!</v>
      </c>
      <c r="G140" s="274" t="e">
        <f>E140-F140</f>
        <v>#REF!</v>
      </c>
      <c r="H140" s="51" t="e">
        <f>D140-#REF!</f>
        <v>#REF!</v>
      </c>
      <c r="I140" s="14">
        <v>1</v>
      </c>
      <c r="J140" s="14" t="s">
        <v>60</v>
      </c>
      <c r="K140" s="12" t="s">
        <v>25</v>
      </c>
      <c r="L140" s="19">
        <f>(2.8*L22*6)+(3.05*L22*6)</f>
        <v>418.90094999999997</v>
      </c>
      <c r="M140" s="14">
        <v>1</v>
      </c>
      <c r="N140" s="14" t="s">
        <v>60</v>
      </c>
      <c r="O140" s="12" t="s">
        <v>25</v>
      </c>
      <c r="P140" s="19">
        <f>(2.8*P22*6)+(3.05*P22*6)</f>
        <v>855.57303</v>
      </c>
      <c r="Q140" s="14">
        <v>1</v>
      </c>
      <c r="R140" s="14" t="s">
        <v>60</v>
      </c>
      <c r="S140" s="12" t="s">
        <v>25</v>
      </c>
      <c r="T140" s="19">
        <f>(2.8*T22*6)+(3.05*T22*6)</f>
        <v>160.89839999999998</v>
      </c>
      <c r="U140" s="14">
        <v>1</v>
      </c>
      <c r="V140" s="14" t="s">
        <v>60</v>
      </c>
      <c r="W140" s="12" t="s">
        <v>25</v>
      </c>
      <c r="X140" s="19">
        <f>(2.8*X22*6)+(3.05*X22*6)</f>
        <v>364.35204</v>
      </c>
      <c r="Y140" s="14">
        <v>1</v>
      </c>
      <c r="Z140" s="14" t="s">
        <v>60</v>
      </c>
      <c r="AA140" s="12" t="s">
        <v>25</v>
      </c>
      <c r="AB140" s="19">
        <f>(2.8*AB22*6)+(3.05*AB22*6)</f>
        <v>157.12164</v>
      </c>
      <c r="AC140" s="14">
        <v>1</v>
      </c>
      <c r="AD140" s="14" t="s">
        <v>60</v>
      </c>
      <c r="AE140" s="12" t="s">
        <v>25</v>
      </c>
      <c r="AF140" s="19">
        <f>(2.8*AF22*6)+(3.05*AF22*6)</f>
        <v>91.91286</v>
      </c>
      <c r="AG140" s="14">
        <v>1</v>
      </c>
      <c r="AH140" s="14" t="s">
        <v>60</v>
      </c>
      <c r="AI140" s="12" t="s">
        <v>25</v>
      </c>
      <c r="AJ140" s="19">
        <f>(2.8*AJ22*6)+(3.05*AJ22*6)</f>
        <v>518.2725599999999</v>
      </c>
      <c r="AK140" s="14">
        <v>1</v>
      </c>
      <c r="AL140" s="14" t="s">
        <v>60</v>
      </c>
      <c r="AM140" s="12" t="s">
        <v>25</v>
      </c>
      <c r="AN140" s="19">
        <f>(2.8*AN22*6)+(3.05*AN22*6)</f>
        <v>563.1092999999998</v>
      </c>
      <c r="AO140" s="14">
        <v>1</v>
      </c>
      <c r="AP140" s="14" t="s">
        <v>60</v>
      </c>
      <c r="AQ140" s="12" t="s">
        <v>25</v>
      </c>
      <c r="AR140" s="19">
        <f>(2.8*AR22*6)+(3.05*AR22*6)</f>
        <v>723.01086</v>
      </c>
      <c r="AS140" s="14">
        <v>1</v>
      </c>
      <c r="AT140" s="14" t="s">
        <v>60</v>
      </c>
      <c r="AU140" s="12" t="s">
        <v>25</v>
      </c>
      <c r="AV140" s="19">
        <f>(2.8*AV22*6)+(3.05*AV22*6)</f>
        <v>578.67615</v>
      </c>
      <c r="AW140" s="14">
        <v>1</v>
      </c>
      <c r="AX140" s="14" t="s">
        <v>60</v>
      </c>
      <c r="AY140" s="12" t="s">
        <v>25</v>
      </c>
      <c r="AZ140" s="19">
        <f>(2.8*AZ22*6)+(3.05*AZ22*6)</f>
        <v>734.4675</v>
      </c>
      <c r="BA140" s="14">
        <v>1</v>
      </c>
      <c r="BB140" s="14" t="s">
        <v>60</v>
      </c>
      <c r="BC140" s="12" t="s">
        <v>25</v>
      </c>
      <c r="BD140" s="19">
        <f>(2.8*BD22*6)+(3.05*BD22*6)</f>
        <v>360.18917999999996</v>
      </c>
      <c r="BE140" s="14">
        <v>1</v>
      </c>
      <c r="BF140" s="14" t="s">
        <v>60</v>
      </c>
      <c r="BG140" s="12" t="s">
        <v>25</v>
      </c>
      <c r="BH140" s="19">
        <f>(2.8*BH22*6)+(3.05*BH22*6)</f>
        <v>183.99419999999998</v>
      </c>
      <c r="BI140" s="14">
        <v>1</v>
      </c>
      <c r="BJ140" s="14" t="s">
        <v>60</v>
      </c>
      <c r="BK140" s="12" t="s">
        <v>25</v>
      </c>
      <c r="BL140" s="19">
        <f>(2.8*BL22*6)+(3.05*BL22*6)</f>
        <v>281.30544</v>
      </c>
      <c r="BM140" s="14">
        <v>1</v>
      </c>
      <c r="BN140" s="14" t="s">
        <v>60</v>
      </c>
      <c r="BO140" s="12" t="s">
        <v>25</v>
      </c>
      <c r="BP140" s="19">
        <f>(2.8*BP22*6)+(3.05*BP22*6)</f>
        <v>519.2342999999998</v>
      </c>
      <c r="BQ140" s="14">
        <v>1</v>
      </c>
      <c r="BR140" s="14" t="s">
        <v>60</v>
      </c>
      <c r="BS140" s="12" t="s">
        <v>25</v>
      </c>
      <c r="BT140" s="19">
        <f>(2.8*BT22*6)+(3.05*BT22*6)</f>
        <v>359.9154</v>
      </c>
      <c r="BU140" s="14">
        <v>1</v>
      </c>
      <c r="BV140" s="14" t="s">
        <v>60</v>
      </c>
      <c r="BW140" s="12" t="s">
        <v>25</v>
      </c>
      <c r="BX140" s="19">
        <f>(2.8*BX22*6)+(3.05*BX22*6)</f>
        <v>159.79626</v>
      </c>
      <c r="BY140" s="51" t="e">
        <f>#REF!-#REF!</f>
        <v>#REF!</v>
      </c>
      <c r="BZ140" s="14">
        <v>1</v>
      </c>
      <c r="CA140" s="14" t="s">
        <v>60</v>
      </c>
      <c r="CB140" s="12" t="s">
        <v>25</v>
      </c>
      <c r="CC140" s="19">
        <f>(2.8*CC22*6)+(3.05*CC22*6)</f>
        <v>120.744</v>
      </c>
      <c r="CD140" s="355"/>
    </row>
    <row r="141" spans="1:82" ht="15">
      <c r="A141" s="14"/>
      <c r="B141" s="13" t="s">
        <v>61</v>
      </c>
      <c r="C141" s="12" t="s">
        <v>25</v>
      </c>
      <c r="D141" s="225" t="e">
        <f>D140-#REF!</f>
        <v>#REF!</v>
      </c>
      <c r="E141" s="276"/>
      <c r="F141" s="19"/>
      <c r="G141" s="246"/>
      <c r="H141" s="51"/>
      <c r="I141" s="14"/>
      <c r="J141" s="13" t="s">
        <v>61</v>
      </c>
      <c r="K141" s="12" t="s">
        <v>25</v>
      </c>
      <c r="L141" s="19" t="e">
        <f>L140-#REF!</f>
        <v>#REF!</v>
      </c>
      <c r="M141" s="14"/>
      <c r="N141" s="13" t="s">
        <v>61</v>
      </c>
      <c r="O141" s="12" t="s">
        <v>25</v>
      </c>
      <c r="P141" s="19" t="e">
        <f>P140-#REF!</f>
        <v>#REF!</v>
      </c>
      <c r="Q141" s="14"/>
      <c r="R141" s="13" t="s">
        <v>61</v>
      </c>
      <c r="S141" s="12" t="s">
        <v>25</v>
      </c>
      <c r="T141" s="19" t="e">
        <f>T140-#REF!</f>
        <v>#REF!</v>
      </c>
      <c r="U141" s="14"/>
      <c r="V141" s="13" t="s">
        <v>61</v>
      </c>
      <c r="W141" s="12" t="s">
        <v>25</v>
      </c>
      <c r="X141" s="19" t="e">
        <f>X140-#REF!</f>
        <v>#REF!</v>
      </c>
      <c r="Y141" s="14"/>
      <c r="Z141" s="13" t="s">
        <v>61</v>
      </c>
      <c r="AA141" s="12" t="s">
        <v>25</v>
      </c>
      <c r="AB141" s="19" t="e">
        <f>AB140-#REF!</f>
        <v>#REF!</v>
      </c>
      <c r="AC141" s="14"/>
      <c r="AD141" s="13" t="s">
        <v>61</v>
      </c>
      <c r="AE141" s="12" t="s">
        <v>25</v>
      </c>
      <c r="AF141" s="19" t="e">
        <f>AF140-#REF!</f>
        <v>#REF!</v>
      </c>
      <c r="AG141" s="14"/>
      <c r="AH141" s="13" t="s">
        <v>61</v>
      </c>
      <c r="AI141" s="12" t="s">
        <v>25</v>
      </c>
      <c r="AJ141" s="19" t="e">
        <f>AJ140-#REF!</f>
        <v>#REF!</v>
      </c>
      <c r="AK141" s="14"/>
      <c r="AL141" s="13" t="s">
        <v>61</v>
      </c>
      <c r="AM141" s="12" t="s">
        <v>25</v>
      </c>
      <c r="AN141" s="19" t="e">
        <f>AN140-#REF!</f>
        <v>#REF!</v>
      </c>
      <c r="AO141" s="14"/>
      <c r="AP141" s="13" t="s">
        <v>61</v>
      </c>
      <c r="AQ141" s="12" t="s">
        <v>25</v>
      </c>
      <c r="AR141" s="19" t="e">
        <f>AR140-#REF!</f>
        <v>#REF!</v>
      </c>
      <c r="AS141" s="14"/>
      <c r="AT141" s="13" t="s">
        <v>61</v>
      </c>
      <c r="AU141" s="12" t="s">
        <v>25</v>
      </c>
      <c r="AV141" s="19" t="e">
        <f>AV140-#REF!</f>
        <v>#REF!</v>
      </c>
      <c r="AW141" s="14"/>
      <c r="AX141" s="13" t="s">
        <v>61</v>
      </c>
      <c r="AY141" s="12" t="s">
        <v>25</v>
      </c>
      <c r="AZ141" s="19" t="e">
        <f>AZ140-#REF!</f>
        <v>#REF!</v>
      </c>
      <c r="BA141" s="14"/>
      <c r="BB141" s="13" t="s">
        <v>61</v>
      </c>
      <c r="BC141" s="12" t="s">
        <v>25</v>
      </c>
      <c r="BD141" s="19" t="e">
        <f>BD140-#REF!</f>
        <v>#REF!</v>
      </c>
      <c r="BE141" s="14"/>
      <c r="BF141" s="13" t="s">
        <v>61</v>
      </c>
      <c r="BG141" s="12" t="s">
        <v>25</v>
      </c>
      <c r="BH141" s="19" t="e">
        <f>BH140-#REF!</f>
        <v>#REF!</v>
      </c>
      <c r="BI141" s="14"/>
      <c r="BJ141" s="13" t="s">
        <v>61</v>
      </c>
      <c r="BK141" s="12" t="s">
        <v>25</v>
      </c>
      <c r="BL141" s="19" t="e">
        <f>BL140-#REF!</f>
        <v>#REF!</v>
      </c>
      <c r="BM141" s="14"/>
      <c r="BN141" s="13" t="s">
        <v>61</v>
      </c>
      <c r="BO141" s="12" t="s">
        <v>25</v>
      </c>
      <c r="BP141" s="19" t="e">
        <f>BP140-#REF!</f>
        <v>#REF!</v>
      </c>
      <c r="BQ141" s="14"/>
      <c r="BR141" s="13" t="s">
        <v>61</v>
      </c>
      <c r="BS141" s="12" t="s">
        <v>25</v>
      </c>
      <c r="BT141" s="19" t="e">
        <f>BT140-#REF!</f>
        <v>#REF!</v>
      </c>
      <c r="BU141" s="14"/>
      <c r="BV141" s="13" t="s">
        <v>61</v>
      </c>
      <c r="BW141" s="12" t="s">
        <v>25</v>
      </c>
      <c r="BX141" s="19" t="e">
        <f>BX140-#REF!</f>
        <v>#REF!</v>
      </c>
      <c r="BY141" s="51"/>
      <c r="BZ141" s="14"/>
      <c r="CA141" s="13" t="s">
        <v>61</v>
      </c>
      <c r="CB141" s="12" t="s">
        <v>25</v>
      </c>
      <c r="CC141" s="19" t="e">
        <f>CC140-#REF!</f>
        <v>#REF!</v>
      </c>
      <c r="CD141" s="355">
        <f>(203746.2*2.8*6)+(203746.2*3.05*6)</f>
        <v>7151491.62</v>
      </c>
    </row>
    <row r="142" spans="1:82" ht="15">
      <c r="A142" s="14">
        <v>2</v>
      </c>
      <c r="B142" s="14" t="s">
        <v>62</v>
      </c>
      <c r="C142" s="12" t="s">
        <v>25</v>
      </c>
      <c r="D142" s="655">
        <f>L142+P142+T142+X142+AB142+AF142+AJ142+AN142+AR142+AV142+AZ142+BD142+BH142+BL142+BP142+BT142+BX142+CC142</f>
        <v>5105.863985999999</v>
      </c>
      <c r="E142" s="276">
        <v>3358</v>
      </c>
      <c r="F142" s="19" t="e">
        <f>F126+F134</f>
        <v>#REF!</v>
      </c>
      <c r="G142" s="274" t="e">
        <f>E142-F142</f>
        <v>#REF!</v>
      </c>
      <c r="H142" s="51" t="e">
        <f>D142-#REF!</f>
        <v>#REF!</v>
      </c>
      <c r="I142" s="14">
        <v>2</v>
      </c>
      <c r="J142" s="14" t="s">
        <v>62</v>
      </c>
      <c r="K142" s="12" t="s">
        <v>25</v>
      </c>
      <c r="L142" s="19">
        <f>(1.94*L22*6)+(2.06*L22*6)</f>
        <v>286.428</v>
      </c>
      <c r="M142" s="14">
        <v>2</v>
      </c>
      <c r="N142" s="14" t="s">
        <v>62</v>
      </c>
      <c r="O142" s="12" t="s">
        <v>25</v>
      </c>
      <c r="P142" s="19">
        <f>(1.94*P22*6)+(2.06*P22*6)</f>
        <v>585.0072</v>
      </c>
      <c r="Q142" s="14">
        <v>2</v>
      </c>
      <c r="R142" s="14" t="s">
        <v>62</v>
      </c>
      <c r="S142" s="12" t="s">
        <v>25</v>
      </c>
      <c r="T142" s="19">
        <f>(1.94*T22*6)+(2.06*T22*6)</f>
        <v>110.01599999999999</v>
      </c>
      <c r="U142" s="14">
        <v>2</v>
      </c>
      <c r="V142" s="14" t="s">
        <v>62</v>
      </c>
      <c r="W142" s="12" t="s">
        <v>25</v>
      </c>
      <c r="X142" s="19">
        <f>(1.94*X22*6)+(2.06*X22*6)</f>
        <v>249.1296</v>
      </c>
      <c r="Y142" s="14">
        <v>2</v>
      </c>
      <c r="Z142" s="14" t="s">
        <v>62</v>
      </c>
      <c r="AA142" s="12" t="s">
        <v>25</v>
      </c>
      <c r="AB142" s="19">
        <f>(1.94*AB22*6)+(2.06*AB22*6)</f>
        <v>107.4336</v>
      </c>
      <c r="AC142" s="14">
        <v>2</v>
      </c>
      <c r="AD142" s="14" t="s">
        <v>62</v>
      </c>
      <c r="AE142" s="12" t="s">
        <v>25</v>
      </c>
      <c r="AF142" s="19">
        <f>(2.21*AF22*6)+(2.36*AF22*6)</f>
        <v>71.80201199999999</v>
      </c>
      <c r="AG142" s="14">
        <v>2</v>
      </c>
      <c r="AH142" s="14" t="s">
        <v>62</v>
      </c>
      <c r="AI142" s="12" t="s">
        <v>25</v>
      </c>
      <c r="AJ142" s="19">
        <f>(2.21*AJ22*6)+(2.36*AJ22*6)</f>
        <v>404.872752</v>
      </c>
      <c r="AK142" s="14">
        <v>2</v>
      </c>
      <c r="AL142" s="14" t="s">
        <v>62</v>
      </c>
      <c r="AM142" s="12" t="s">
        <v>25</v>
      </c>
      <c r="AN142" s="19">
        <f>(2.21*AN22*6)+(2.36*AN22*6)</f>
        <v>439.89905999999996</v>
      </c>
      <c r="AO142" s="14">
        <v>2</v>
      </c>
      <c r="AP142" s="14" t="s">
        <v>62</v>
      </c>
      <c r="AQ142" s="12" t="s">
        <v>25</v>
      </c>
      <c r="AR142" s="19">
        <f>(1.94*AR22*6)+(2.06*AR22*6)</f>
        <v>494.3664</v>
      </c>
      <c r="AS142" s="14">
        <v>2</v>
      </c>
      <c r="AT142" s="14" t="s">
        <v>62</v>
      </c>
      <c r="AU142" s="12" t="s">
        <v>25</v>
      </c>
      <c r="AV142" s="19">
        <f>(2.21*AV22*6)+(2.36*AV22*6)</f>
        <v>452.0598299999999</v>
      </c>
      <c r="AW142" s="14">
        <v>2</v>
      </c>
      <c r="AX142" s="14" t="s">
        <v>62</v>
      </c>
      <c r="AY142" s="12" t="s">
        <v>25</v>
      </c>
      <c r="AZ142" s="19">
        <f>(1.94*AZ22*6)+(2.06*AZ22*6)</f>
        <v>502.2</v>
      </c>
      <c r="BA142" s="14">
        <v>2</v>
      </c>
      <c r="BB142" s="14" t="s">
        <v>62</v>
      </c>
      <c r="BC142" s="12" t="s">
        <v>25</v>
      </c>
      <c r="BD142" s="19">
        <f>(1.94*BD22*6)+(2.06*BD22*6)</f>
        <v>246.28319999999997</v>
      </c>
      <c r="BE142" s="14">
        <v>2</v>
      </c>
      <c r="BF142" s="14" t="s">
        <v>62</v>
      </c>
      <c r="BG142" s="12" t="s">
        <v>25</v>
      </c>
      <c r="BH142" s="19">
        <f>(2.21*BH22*6)+(2.36*BH22*6)</f>
        <v>143.73564</v>
      </c>
      <c r="BI142" s="14">
        <v>2</v>
      </c>
      <c r="BJ142" s="14" t="s">
        <v>62</v>
      </c>
      <c r="BK142" s="12" t="s">
        <v>25</v>
      </c>
      <c r="BL142" s="19">
        <f>(1.94*BL22*6)+(2.06*BL22*6)</f>
        <v>192.3456</v>
      </c>
      <c r="BM142" s="14">
        <v>2</v>
      </c>
      <c r="BN142" s="14" t="s">
        <v>62</v>
      </c>
      <c r="BO142" s="12" t="s">
        <v>25</v>
      </c>
      <c r="BP142" s="19">
        <f>(1.94*BP22*6)+(2.06*BP22*6)</f>
        <v>355.032</v>
      </c>
      <c r="BQ142" s="14">
        <v>2</v>
      </c>
      <c r="BR142" s="14" t="s">
        <v>62</v>
      </c>
      <c r="BS142" s="12" t="s">
        <v>25</v>
      </c>
      <c r="BT142" s="19">
        <f>(1.94*BT22*6)+(2.06*BT22*6)</f>
        <v>246.096</v>
      </c>
      <c r="BU142" s="14">
        <v>2</v>
      </c>
      <c r="BV142" s="14" t="s">
        <v>62</v>
      </c>
      <c r="BW142" s="12" t="s">
        <v>25</v>
      </c>
      <c r="BX142" s="19">
        <f>(2.21*BX22*6)+(2.36*BX22*6)</f>
        <v>124.832292</v>
      </c>
      <c r="BY142" s="51" t="e">
        <f>#REF!-#REF!</f>
        <v>#REF!</v>
      </c>
      <c r="BZ142" s="14">
        <v>2</v>
      </c>
      <c r="CA142" s="14" t="s">
        <v>62</v>
      </c>
      <c r="CB142" s="12" t="s">
        <v>25</v>
      </c>
      <c r="CC142" s="19">
        <f>(2.21*CC22*6)+(2.36*CC22*6)</f>
        <v>94.32479999999998</v>
      </c>
      <c r="CD142" s="355"/>
    </row>
    <row r="143" spans="1:82" ht="15">
      <c r="A143" s="14"/>
      <c r="B143" s="13" t="s">
        <v>61</v>
      </c>
      <c r="C143" s="12" t="s">
        <v>25</v>
      </c>
      <c r="D143" s="225" t="e">
        <f>D142-#REF!</f>
        <v>#REF!</v>
      </c>
      <c r="E143" s="276"/>
      <c r="F143" s="19"/>
      <c r="G143" s="246"/>
      <c r="H143" s="51"/>
      <c r="I143" s="14"/>
      <c r="J143" s="13" t="s">
        <v>61</v>
      </c>
      <c r="K143" s="12" t="s">
        <v>25</v>
      </c>
      <c r="L143" s="19" t="e">
        <f>L142-#REF!</f>
        <v>#REF!</v>
      </c>
      <c r="M143" s="14"/>
      <c r="N143" s="13" t="s">
        <v>61</v>
      </c>
      <c r="O143" s="12" t="s">
        <v>25</v>
      </c>
      <c r="P143" s="19" t="e">
        <f>P142-#REF!</f>
        <v>#REF!</v>
      </c>
      <c r="Q143" s="14"/>
      <c r="R143" s="13" t="s">
        <v>61</v>
      </c>
      <c r="S143" s="12" t="s">
        <v>25</v>
      </c>
      <c r="T143" s="19" t="e">
        <f>T142-#REF!</f>
        <v>#REF!</v>
      </c>
      <c r="U143" s="14"/>
      <c r="V143" s="13" t="s">
        <v>61</v>
      </c>
      <c r="W143" s="12" t="s">
        <v>25</v>
      </c>
      <c r="X143" s="19" t="e">
        <f>X142-#REF!</f>
        <v>#REF!</v>
      </c>
      <c r="Y143" s="14"/>
      <c r="Z143" s="13" t="s">
        <v>61</v>
      </c>
      <c r="AA143" s="12" t="s">
        <v>25</v>
      </c>
      <c r="AB143" s="19" t="e">
        <f>AB142-#REF!</f>
        <v>#REF!</v>
      </c>
      <c r="AC143" s="14"/>
      <c r="AD143" s="13" t="s">
        <v>61</v>
      </c>
      <c r="AE143" s="12" t="s">
        <v>25</v>
      </c>
      <c r="AF143" s="19" t="e">
        <f>AF142-#REF!</f>
        <v>#REF!</v>
      </c>
      <c r="AG143" s="14"/>
      <c r="AH143" s="13" t="s">
        <v>61</v>
      </c>
      <c r="AI143" s="12" t="s">
        <v>25</v>
      </c>
      <c r="AJ143" s="582" t="e">
        <f>AJ142-#REF!</f>
        <v>#REF!</v>
      </c>
      <c r="AK143" s="14"/>
      <c r="AL143" s="13" t="s">
        <v>61</v>
      </c>
      <c r="AM143" s="12" t="s">
        <v>25</v>
      </c>
      <c r="AN143" s="582" t="e">
        <f>AN142-#REF!</f>
        <v>#REF!</v>
      </c>
      <c r="AO143" s="14"/>
      <c r="AP143" s="13" t="s">
        <v>61</v>
      </c>
      <c r="AQ143" s="12" t="s">
        <v>25</v>
      </c>
      <c r="AR143" s="19" t="e">
        <f>AR142-#REF!</f>
        <v>#REF!</v>
      </c>
      <c r="AS143" s="14"/>
      <c r="AT143" s="13" t="s">
        <v>61</v>
      </c>
      <c r="AU143" s="12" t="s">
        <v>25</v>
      </c>
      <c r="AV143" s="582" t="e">
        <f>AV142-#REF!</f>
        <v>#REF!</v>
      </c>
      <c r="AW143" s="14"/>
      <c r="AX143" s="13" t="s">
        <v>61</v>
      </c>
      <c r="AY143" s="12" t="s">
        <v>25</v>
      </c>
      <c r="AZ143" s="19" t="e">
        <f>AZ142-#REF!</f>
        <v>#REF!</v>
      </c>
      <c r="BA143" s="14"/>
      <c r="BB143" s="13" t="s">
        <v>61</v>
      </c>
      <c r="BC143" s="12" t="s">
        <v>25</v>
      </c>
      <c r="BD143" s="19" t="e">
        <f>BD142-#REF!</f>
        <v>#REF!</v>
      </c>
      <c r="BE143" s="14"/>
      <c r="BF143" s="13" t="s">
        <v>61</v>
      </c>
      <c r="BG143" s="12" t="s">
        <v>25</v>
      </c>
      <c r="BH143" s="19" t="e">
        <f>BH142-#REF!</f>
        <v>#REF!</v>
      </c>
      <c r="BI143" s="14"/>
      <c r="BJ143" s="13" t="s">
        <v>61</v>
      </c>
      <c r="BK143" s="12" t="s">
        <v>25</v>
      </c>
      <c r="BL143" s="19" t="e">
        <f>BL142-#REF!</f>
        <v>#REF!</v>
      </c>
      <c r="BM143" s="14"/>
      <c r="BN143" s="13" t="s">
        <v>61</v>
      </c>
      <c r="BO143" s="12" t="s">
        <v>25</v>
      </c>
      <c r="BP143" s="19" t="e">
        <f>BP142-#REF!</f>
        <v>#REF!</v>
      </c>
      <c r="BQ143" s="14"/>
      <c r="BR143" s="13" t="s">
        <v>61</v>
      </c>
      <c r="BS143" s="12" t="s">
        <v>25</v>
      </c>
      <c r="BT143" s="19" t="e">
        <f>BT142-#REF!</f>
        <v>#REF!</v>
      </c>
      <c r="BU143" s="14"/>
      <c r="BV143" s="13" t="s">
        <v>61</v>
      </c>
      <c r="BW143" s="12" t="s">
        <v>25</v>
      </c>
      <c r="BX143" s="19" t="e">
        <f>BX142-#REF!</f>
        <v>#REF!</v>
      </c>
      <c r="BY143" s="51"/>
      <c r="BZ143" s="14"/>
      <c r="CA143" s="13" t="s">
        <v>61</v>
      </c>
      <c r="CB143" s="12" t="s">
        <v>25</v>
      </c>
      <c r="CC143" s="19" t="e">
        <f>CC142-#REF!</f>
        <v>#REF!</v>
      </c>
      <c r="CD143" s="355">
        <f>(63148.6*2.21*6)+(63148.6*2.36*6)+(140597.9*1.94*6)+(140597.9*2.06*6)</f>
        <v>5105884.211999999</v>
      </c>
    </row>
    <row r="144" spans="1:82" ht="15">
      <c r="A144" s="14">
        <v>3</v>
      </c>
      <c r="B144" s="14" t="s">
        <v>63</v>
      </c>
      <c r="C144" s="12" t="s">
        <v>25</v>
      </c>
      <c r="D144" s="655">
        <f>L144+P144+T144+X144+AB144+AF144+AJ144+AN144+AR144+AV144+AZ144+BD144+BH144+BL144+BP144+BT144+BX144+CC144</f>
        <v>5971.160015999999</v>
      </c>
      <c r="E144" s="276">
        <f>3398.2</f>
        <v>3398.2</v>
      </c>
      <c r="F144" s="19" t="e">
        <f>F113</f>
        <v>#REF!</v>
      </c>
      <c r="G144" s="274" t="e">
        <f>E144-F144</f>
        <v>#REF!</v>
      </c>
      <c r="H144" s="51" t="e">
        <f>D144-#REF!</f>
        <v>#REF!</v>
      </c>
      <c r="I144" s="14">
        <v>3</v>
      </c>
      <c r="J144" s="14" t="s">
        <v>63</v>
      </c>
      <c r="K144" s="12" t="s">
        <v>25</v>
      </c>
      <c r="L144" s="19">
        <f>(2.42*L22*6)+(2.56*L22*6)</f>
        <v>356.60285999999996</v>
      </c>
      <c r="M144" s="14">
        <v>3</v>
      </c>
      <c r="N144" s="14" t="s">
        <v>63</v>
      </c>
      <c r="O144" s="12" t="s">
        <v>25</v>
      </c>
      <c r="P144" s="19">
        <f>(2.42*P22*6)+(2.56*P22*6)</f>
        <v>728.3339639999999</v>
      </c>
      <c r="Q144" s="14">
        <v>3</v>
      </c>
      <c r="R144" s="14" t="s">
        <v>63</v>
      </c>
      <c r="S144" s="12" t="s">
        <v>25</v>
      </c>
      <c r="T144" s="19">
        <f>(2.42*T22*6)+(2.56*T22*6)</f>
        <v>136.96992</v>
      </c>
      <c r="U144" s="14">
        <v>3</v>
      </c>
      <c r="V144" s="14" t="s">
        <v>63</v>
      </c>
      <c r="W144" s="12" t="s">
        <v>25</v>
      </c>
      <c r="X144" s="19">
        <f>(2.42*X22*6)+(2.56*X22*6)</f>
        <v>310.166352</v>
      </c>
      <c r="Y144" s="14">
        <v>3</v>
      </c>
      <c r="Z144" s="14" t="s">
        <v>63</v>
      </c>
      <c r="AA144" s="12" t="s">
        <v>25</v>
      </c>
      <c r="AB144" s="19">
        <f>(2.42*AB22*6)+(2.56*AB22*6)</f>
        <v>133.754832</v>
      </c>
      <c r="AC144" s="14">
        <v>3</v>
      </c>
      <c r="AD144" s="14" t="s">
        <v>63</v>
      </c>
      <c r="AE144" s="12" t="s">
        <v>25</v>
      </c>
      <c r="AF144" s="19">
        <f>(2.42*AF22*6)+(2.56*AF22*6)</f>
        <v>78.24376799999999</v>
      </c>
      <c r="AG144" s="14">
        <v>3</v>
      </c>
      <c r="AH144" s="14" t="s">
        <v>63</v>
      </c>
      <c r="AI144" s="12" t="s">
        <v>25</v>
      </c>
      <c r="AJ144" s="19">
        <f>(2.42*AJ22*6)+(2.56*AJ22*6)</f>
        <v>441.19612799999993</v>
      </c>
      <c r="AK144" s="14">
        <v>3</v>
      </c>
      <c r="AL144" s="14" t="s">
        <v>63</v>
      </c>
      <c r="AM144" s="12" t="s">
        <v>25</v>
      </c>
      <c r="AN144" s="19">
        <f>(2.42*AN22*6)+(2.56*AN22*6)</f>
        <v>479.36483999999996</v>
      </c>
      <c r="AO144" s="14">
        <v>3</v>
      </c>
      <c r="AP144" s="14" t="s">
        <v>63</v>
      </c>
      <c r="AQ144" s="12" t="s">
        <v>25</v>
      </c>
      <c r="AR144" s="19">
        <f>(2.42*AR22*6)+(2.56*AR22*6)</f>
        <v>615.486168</v>
      </c>
      <c r="AS144" s="14">
        <v>3</v>
      </c>
      <c r="AT144" s="14" t="s">
        <v>63</v>
      </c>
      <c r="AU144" s="12" t="s">
        <v>25</v>
      </c>
      <c r="AV144" s="19">
        <f>(2.42*AV22*6)+(2.56*AV22*6)</f>
        <v>492.61662</v>
      </c>
      <c r="AW144" s="14">
        <v>3</v>
      </c>
      <c r="AX144" s="14" t="s">
        <v>63</v>
      </c>
      <c r="AY144" s="12" t="s">
        <v>25</v>
      </c>
      <c r="AZ144" s="19">
        <f>(1.97*AZ22*6)+(2.08*AZ22*6)</f>
        <v>508.4775</v>
      </c>
      <c r="BA144" s="14">
        <v>3</v>
      </c>
      <c r="BB144" s="14" t="s">
        <v>63</v>
      </c>
      <c r="BC144" s="12" t="s">
        <v>25</v>
      </c>
      <c r="BD144" s="19">
        <f>(2.42*BD22*6)+(2.56*BD22*6)</f>
        <v>306.62258399999996</v>
      </c>
      <c r="BE144" s="14">
        <v>3</v>
      </c>
      <c r="BF144" s="14" t="s">
        <v>63</v>
      </c>
      <c r="BG144" s="12" t="s">
        <v>25</v>
      </c>
      <c r="BH144" s="19">
        <f>(2.42*BH22*6)+(2.56*BH22*6)</f>
        <v>156.63096000000002</v>
      </c>
      <c r="BI144" s="14">
        <v>3</v>
      </c>
      <c r="BJ144" s="14" t="s">
        <v>63</v>
      </c>
      <c r="BK144" s="12" t="s">
        <v>25</v>
      </c>
      <c r="BL144" s="19">
        <f>(2.42*BL22*6)+(2.56*BL22*6)</f>
        <v>239.47027200000002</v>
      </c>
      <c r="BM144" s="14">
        <v>3</v>
      </c>
      <c r="BN144" s="14" t="s">
        <v>63</v>
      </c>
      <c r="BO144" s="12" t="s">
        <v>25</v>
      </c>
      <c r="BP144" s="19">
        <f>(2.42*BP22*6)+(2.56*BP22*6)</f>
        <v>442.01484</v>
      </c>
      <c r="BQ144" s="14">
        <v>3</v>
      </c>
      <c r="BR144" s="14" t="s">
        <v>63</v>
      </c>
      <c r="BS144" s="12" t="s">
        <v>25</v>
      </c>
      <c r="BT144" s="19">
        <f>(2.42*BT22*6)+(2.56*BT22*6)</f>
        <v>306.38952</v>
      </c>
      <c r="BU144" s="14">
        <v>3</v>
      </c>
      <c r="BV144" s="14" t="s">
        <v>63</v>
      </c>
      <c r="BW144" s="12" t="s">
        <v>25</v>
      </c>
      <c r="BX144" s="19">
        <f>(2.42*BX22*6)+(2.56*BX22*6)</f>
        <v>136.031688</v>
      </c>
      <c r="BY144" s="51" t="e">
        <f>#REF!-#REF!</f>
        <v>#REF!</v>
      </c>
      <c r="BZ144" s="14">
        <v>3</v>
      </c>
      <c r="CA144" s="14" t="s">
        <v>63</v>
      </c>
      <c r="CB144" s="12" t="s">
        <v>25</v>
      </c>
      <c r="CC144" s="19">
        <f>(2.42*CC22*6)+(2.56*CC22*6)</f>
        <v>102.7872</v>
      </c>
      <c r="CD144" s="355"/>
    </row>
    <row r="145" spans="1:82" ht="15">
      <c r="A145" s="14"/>
      <c r="B145" s="13" t="s">
        <v>61</v>
      </c>
      <c r="C145" s="12" t="s">
        <v>25</v>
      </c>
      <c r="D145" s="225" t="e">
        <f>D144-#REF!</f>
        <v>#REF!</v>
      </c>
      <c r="E145" s="137"/>
      <c r="F145" s="19"/>
      <c r="G145" s="274"/>
      <c r="H145" s="51"/>
      <c r="I145" s="14"/>
      <c r="J145" s="13" t="s">
        <v>61</v>
      </c>
      <c r="K145" s="12" t="s">
        <v>25</v>
      </c>
      <c r="L145" s="19" t="e">
        <f>L144-#REF!</f>
        <v>#REF!</v>
      </c>
      <c r="M145" s="14"/>
      <c r="N145" s="13" t="s">
        <v>61</v>
      </c>
      <c r="O145" s="12" t="s">
        <v>25</v>
      </c>
      <c r="P145" s="19" t="e">
        <f>P144-#REF!</f>
        <v>#REF!</v>
      </c>
      <c r="Q145" s="14"/>
      <c r="R145" s="13" t="s">
        <v>61</v>
      </c>
      <c r="S145" s="12" t="s">
        <v>25</v>
      </c>
      <c r="T145" s="19" t="e">
        <f>T144-#REF!</f>
        <v>#REF!</v>
      </c>
      <c r="U145" s="14"/>
      <c r="V145" s="13" t="s">
        <v>61</v>
      </c>
      <c r="W145" s="12" t="s">
        <v>25</v>
      </c>
      <c r="X145" s="19" t="e">
        <f>X144-#REF!</f>
        <v>#REF!</v>
      </c>
      <c r="Y145" s="14"/>
      <c r="Z145" s="13" t="s">
        <v>61</v>
      </c>
      <c r="AA145" s="12" t="s">
        <v>25</v>
      </c>
      <c r="AB145" s="19" t="e">
        <f>AB144-#REF!</f>
        <v>#REF!</v>
      </c>
      <c r="AC145" s="14"/>
      <c r="AD145" s="13" t="s">
        <v>61</v>
      </c>
      <c r="AE145" s="12" t="s">
        <v>25</v>
      </c>
      <c r="AF145" s="19" t="e">
        <f>AF144-#REF!</f>
        <v>#REF!</v>
      </c>
      <c r="AG145" s="14"/>
      <c r="AH145" s="13" t="s">
        <v>61</v>
      </c>
      <c r="AI145" s="12" t="s">
        <v>25</v>
      </c>
      <c r="AJ145" s="19" t="e">
        <f>AJ144-#REF!</f>
        <v>#REF!</v>
      </c>
      <c r="AK145" s="14"/>
      <c r="AL145" s="13" t="s">
        <v>61</v>
      </c>
      <c r="AM145" s="12" t="s">
        <v>25</v>
      </c>
      <c r="AN145" s="582" t="e">
        <f>AN144-#REF!</f>
        <v>#REF!</v>
      </c>
      <c r="AO145" s="14"/>
      <c r="AP145" s="13" t="s">
        <v>61</v>
      </c>
      <c r="AQ145" s="12" t="s">
        <v>25</v>
      </c>
      <c r="AR145" s="19" t="e">
        <f>AR144-#REF!</f>
        <v>#REF!</v>
      </c>
      <c r="AS145" s="14"/>
      <c r="AT145" s="13" t="s">
        <v>61</v>
      </c>
      <c r="AU145" s="12" t="s">
        <v>25</v>
      </c>
      <c r="AV145" s="582" t="e">
        <f>AV144-#REF!</f>
        <v>#REF!</v>
      </c>
      <c r="AW145" s="14"/>
      <c r="AX145" s="13" t="s">
        <v>61</v>
      </c>
      <c r="AY145" s="12" t="s">
        <v>25</v>
      </c>
      <c r="AZ145" s="19" t="e">
        <f>AZ144-#REF!</f>
        <v>#REF!</v>
      </c>
      <c r="BA145" s="14"/>
      <c r="BB145" s="13" t="s">
        <v>61</v>
      </c>
      <c r="BC145" s="12" t="s">
        <v>25</v>
      </c>
      <c r="BD145" s="19" t="e">
        <f>BD144-#REF!</f>
        <v>#REF!</v>
      </c>
      <c r="BE145" s="14"/>
      <c r="BF145" s="13" t="s">
        <v>61</v>
      </c>
      <c r="BG145" s="12" t="s">
        <v>25</v>
      </c>
      <c r="BH145" s="19" t="e">
        <f>BH144-#REF!</f>
        <v>#REF!</v>
      </c>
      <c r="BI145" s="14"/>
      <c r="BJ145" s="13" t="s">
        <v>61</v>
      </c>
      <c r="BK145" s="12" t="s">
        <v>25</v>
      </c>
      <c r="BL145" s="19" t="e">
        <f>BL144-#REF!</f>
        <v>#REF!</v>
      </c>
      <c r="BM145" s="14"/>
      <c r="BN145" s="13" t="s">
        <v>61</v>
      </c>
      <c r="BO145" s="12" t="s">
        <v>25</v>
      </c>
      <c r="BP145" s="19" t="e">
        <f>BP144-#REF!</f>
        <v>#REF!</v>
      </c>
      <c r="BQ145" s="14"/>
      <c r="BR145" s="13" t="s">
        <v>61</v>
      </c>
      <c r="BS145" s="12" t="s">
        <v>25</v>
      </c>
      <c r="BT145" s="19" t="e">
        <f>BT144-#REF!</f>
        <v>#REF!</v>
      </c>
      <c r="BU145" s="14"/>
      <c r="BV145" s="13" t="s">
        <v>61</v>
      </c>
      <c r="BW145" s="12" t="s">
        <v>25</v>
      </c>
      <c r="BX145" s="19" t="e">
        <f>BX144-#REF!</f>
        <v>#REF!</v>
      </c>
      <c r="BY145" s="51"/>
      <c r="BZ145" s="14"/>
      <c r="CA145" s="13" t="s">
        <v>61</v>
      </c>
      <c r="CB145" s="12" t="s">
        <v>25</v>
      </c>
      <c r="CC145" s="19" t="e">
        <f>CC144-#REF!</f>
        <v>#REF!</v>
      </c>
      <c r="CD145" s="355">
        <f>(182821.4*2.42*6)+(182821.4*2.56*6)+(20924.8*1.97*6)+(20924.8*2.08*6)</f>
        <v>5971176.072</v>
      </c>
    </row>
    <row r="146" spans="1:82" ht="12.75">
      <c r="A146" s="14"/>
      <c r="B146" s="53" t="s">
        <v>64</v>
      </c>
      <c r="C146" s="54" t="s">
        <v>25</v>
      </c>
      <c r="D146" s="226">
        <f>D140+D142+D144</f>
        <v>18228.498072</v>
      </c>
      <c r="E146" s="55">
        <f>E140+E142+E144</f>
        <v>11538.7</v>
      </c>
      <c r="F146" s="55" t="e">
        <f>F140+F142+F144</f>
        <v>#REF!</v>
      </c>
      <c r="G146" s="55" t="e">
        <f>G140+G142+G144</f>
        <v>#REF!</v>
      </c>
      <c r="H146" s="55" t="e">
        <f>H140+H142+H144</f>
        <v>#REF!</v>
      </c>
      <c r="I146" s="14"/>
      <c r="J146" s="53" t="s">
        <v>64</v>
      </c>
      <c r="K146" s="54" t="s">
        <v>25</v>
      </c>
      <c r="L146" s="55">
        <f>L140+L142+L144</f>
        <v>1061.93181</v>
      </c>
      <c r="M146" s="14"/>
      <c r="N146" s="53" t="s">
        <v>64</v>
      </c>
      <c r="O146" s="54" t="s">
        <v>25</v>
      </c>
      <c r="P146" s="55">
        <f>P140+P142+P144</f>
        <v>2168.914194</v>
      </c>
      <c r="Q146" s="14"/>
      <c r="R146" s="53" t="s">
        <v>64</v>
      </c>
      <c r="S146" s="54" t="s">
        <v>25</v>
      </c>
      <c r="T146" s="55">
        <f>T140+T142+T144</f>
        <v>407.88432</v>
      </c>
      <c r="U146" s="14"/>
      <c r="V146" s="53" t="s">
        <v>64</v>
      </c>
      <c r="W146" s="54" t="s">
        <v>25</v>
      </c>
      <c r="X146" s="55">
        <f>X140+X142+X144</f>
        <v>923.6479919999999</v>
      </c>
      <c r="Y146" s="14"/>
      <c r="Z146" s="53" t="s">
        <v>64</v>
      </c>
      <c r="AA146" s="54" t="s">
        <v>25</v>
      </c>
      <c r="AB146" s="55">
        <f>AB140+AB142+AB144</f>
        <v>398.310072</v>
      </c>
      <c r="AC146" s="14"/>
      <c r="AD146" s="53" t="s">
        <v>64</v>
      </c>
      <c r="AE146" s="54" t="s">
        <v>25</v>
      </c>
      <c r="AF146" s="55">
        <f>AF140+AF142+AF144</f>
        <v>241.95863999999997</v>
      </c>
      <c r="AG146" s="14"/>
      <c r="AH146" s="53" t="s">
        <v>64</v>
      </c>
      <c r="AI146" s="54" t="s">
        <v>25</v>
      </c>
      <c r="AJ146" s="55">
        <f>AJ140+AJ142+AJ144</f>
        <v>1364.3414399999997</v>
      </c>
      <c r="AK146" s="14"/>
      <c r="AL146" s="53" t="s">
        <v>64</v>
      </c>
      <c r="AM146" s="54" t="s">
        <v>25</v>
      </c>
      <c r="AN146" s="55">
        <f>AN140+AN142+AN144</f>
        <v>1482.3731999999998</v>
      </c>
      <c r="AO146" s="14"/>
      <c r="AP146" s="53" t="s">
        <v>64</v>
      </c>
      <c r="AQ146" s="54" t="s">
        <v>25</v>
      </c>
      <c r="AR146" s="55">
        <f>AR140+AR142+AR144</f>
        <v>1832.863428</v>
      </c>
      <c r="AS146" s="14"/>
      <c r="AT146" s="53" t="s">
        <v>64</v>
      </c>
      <c r="AU146" s="54" t="s">
        <v>25</v>
      </c>
      <c r="AV146" s="55">
        <f>AV140+AV142+AV144</f>
        <v>1523.3526</v>
      </c>
      <c r="AW146" s="14"/>
      <c r="AX146" s="53" t="s">
        <v>64</v>
      </c>
      <c r="AY146" s="54" t="s">
        <v>25</v>
      </c>
      <c r="AZ146" s="226">
        <f>AZ140+AZ142+AZ144</f>
        <v>1745.145</v>
      </c>
      <c r="BA146" s="14"/>
      <c r="BB146" s="53" t="s">
        <v>64</v>
      </c>
      <c r="BC146" s="54" t="s">
        <v>25</v>
      </c>
      <c r="BD146" s="55">
        <f>BD140+BD142+BD144</f>
        <v>913.0949639999999</v>
      </c>
      <c r="BE146" s="14"/>
      <c r="BF146" s="53" t="s">
        <v>64</v>
      </c>
      <c r="BG146" s="54" t="s">
        <v>25</v>
      </c>
      <c r="BH146" s="55">
        <f>BH140+BH142+BH144</f>
        <v>484.3608</v>
      </c>
      <c r="BI146" s="14"/>
      <c r="BJ146" s="53" t="s">
        <v>64</v>
      </c>
      <c r="BK146" s="54" t="s">
        <v>25</v>
      </c>
      <c r="BL146" s="55">
        <f>BL140+BL142+BL144</f>
        <v>713.121312</v>
      </c>
      <c r="BM146" s="14"/>
      <c r="BN146" s="53" t="s">
        <v>64</v>
      </c>
      <c r="BO146" s="54" t="s">
        <v>25</v>
      </c>
      <c r="BP146" s="55">
        <f>BP140+BP142+BP144</f>
        <v>1316.2811399999998</v>
      </c>
      <c r="BQ146" s="14"/>
      <c r="BR146" s="53" t="s">
        <v>64</v>
      </c>
      <c r="BS146" s="54" t="s">
        <v>25</v>
      </c>
      <c r="BT146" s="55">
        <f>BT140+BT142+BT144</f>
        <v>912.40092</v>
      </c>
      <c r="BU146" s="14"/>
      <c r="BV146" s="53" t="s">
        <v>64</v>
      </c>
      <c r="BW146" s="54" t="s">
        <v>25</v>
      </c>
      <c r="BX146" s="55">
        <f>BX140+BX142+BX144</f>
        <v>420.66024000000004</v>
      </c>
      <c r="BY146" s="21" t="e">
        <f>BY140+BY142+BY144</f>
        <v>#REF!</v>
      </c>
      <c r="BZ146" s="14"/>
      <c r="CA146" s="53" t="s">
        <v>64</v>
      </c>
      <c r="CB146" s="54" t="s">
        <v>25</v>
      </c>
      <c r="CC146" s="55">
        <f>CC140+CC142+CC144</f>
        <v>317.856</v>
      </c>
      <c r="CD146" s="355"/>
    </row>
    <row r="147" spans="1:81" ht="12.75">
      <c r="A147" s="307"/>
      <c r="B147" s="308"/>
      <c r="C147" s="309"/>
      <c r="D147" s="310"/>
      <c r="E147" s="311"/>
      <c r="H147" s="212"/>
      <c r="I147" s="307"/>
      <c r="J147" s="308"/>
      <c r="K147" s="309"/>
      <c r="L147" s="310"/>
      <c r="M147" s="307"/>
      <c r="N147" s="308"/>
      <c r="O147" s="309"/>
      <c r="P147" s="310"/>
      <c r="Q147" s="307"/>
      <c r="R147" s="308"/>
      <c r="S147" s="309"/>
      <c r="T147" s="310"/>
      <c r="U147" s="307"/>
      <c r="V147" s="308"/>
      <c r="W147" s="309"/>
      <c r="X147" s="310"/>
      <c r="Y147" s="307"/>
      <c r="Z147" s="308"/>
      <c r="AA147" s="309"/>
      <c r="AB147" s="310"/>
      <c r="AC147" s="307"/>
      <c r="AD147" s="308"/>
      <c r="AE147" s="309"/>
      <c r="AF147" s="310"/>
      <c r="AG147" s="307"/>
      <c r="AH147" s="308"/>
      <c r="AI147" s="309"/>
      <c r="AJ147" s="310"/>
      <c r="AK147" s="307"/>
      <c r="AL147" s="308"/>
      <c r="AM147" s="309"/>
      <c r="AN147" s="310"/>
      <c r="AO147" s="307"/>
      <c r="AP147" s="308"/>
      <c r="AQ147" s="309"/>
      <c r="AR147" s="310"/>
      <c r="AS147" s="307"/>
      <c r="AT147" s="308"/>
      <c r="AU147" s="309"/>
      <c r="AV147" s="310"/>
      <c r="AW147" s="307"/>
      <c r="AX147" s="308"/>
      <c r="AY147" s="309"/>
      <c r="AZ147" s="312"/>
      <c r="BA147" s="307"/>
      <c r="BB147" s="308"/>
      <c r="BC147" s="309"/>
      <c r="BD147" s="310"/>
      <c r="BE147" s="307"/>
      <c r="BF147" s="308"/>
      <c r="BG147" s="309"/>
      <c r="BH147" s="310"/>
      <c r="BI147" s="307"/>
      <c r="BJ147" s="308"/>
      <c r="BK147" s="309"/>
      <c r="BL147" s="310"/>
      <c r="BM147" s="307"/>
      <c r="BN147" s="308"/>
      <c r="BO147" s="309"/>
      <c r="BP147" s="310"/>
      <c r="BQ147" s="307"/>
      <c r="BR147" s="308"/>
      <c r="BS147" s="309"/>
      <c r="BT147" s="310"/>
      <c r="BU147" s="307"/>
      <c r="BV147" s="308"/>
      <c r="BW147" s="309"/>
      <c r="BX147" s="310"/>
      <c r="BY147" s="313"/>
      <c r="BZ147" s="307"/>
      <c r="CA147" s="308"/>
      <c r="CB147" s="309"/>
      <c r="CC147" s="310"/>
    </row>
    <row r="148" spans="1:81" ht="15">
      <c r="A148" s="307"/>
      <c r="B148" s="308"/>
      <c r="C148" s="309"/>
      <c r="D148" s="310"/>
      <c r="E148" s="311"/>
      <c r="F148" s="29"/>
      <c r="H148" s="212"/>
      <c r="I148" s="307"/>
      <c r="J148" s="308"/>
      <c r="K148" s="309"/>
      <c r="L148" s="310"/>
      <c r="M148" s="307"/>
      <c r="N148" s="308"/>
      <c r="O148" s="309"/>
      <c r="P148" s="310"/>
      <c r="Q148" s="307"/>
      <c r="R148" s="308"/>
      <c r="S148" s="309"/>
      <c r="T148" s="310"/>
      <c r="U148" s="307"/>
      <c r="V148" s="308"/>
      <c r="W148" s="309"/>
      <c r="X148" s="310"/>
      <c r="Y148" s="307"/>
      <c r="Z148" s="308"/>
      <c r="AA148" s="309"/>
      <c r="AB148" s="310"/>
      <c r="AC148" s="307"/>
      <c r="AD148" s="308"/>
      <c r="AE148" s="309"/>
      <c r="AF148" s="310"/>
      <c r="AG148" s="307"/>
      <c r="AH148" s="308"/>
      <c r="AI148" s="309"/>
      <c r="AJ148" s="310"/>
      <c r="AK148" s="307"/>
      <c r="AL148" s="308"/>
      <c r="AM148" s="309"/>
      <c r="AN148" s="310"/>
      <c r="AO148" s="307"/>
      <c r="AP148" s="308"/>
      <c r="AQ148" s="309"/>
      <c r="AR148" s="310"/>
      <c r="AS148" s="307"/>
      <c r="AT148" s="308"/>
      <c r="AU148" s="309"/>
      <c r="AV148" s="310"/>
      <c r="AW148" s="307"/>
      <c r="AX148" s="308"/>
      <c r="AY148" s="309"/>
      <c r="AZ148" s="312"/>
      <c r="BA148" s="307"/>
      <c r="BB148" s="308"/>
      <c r="BC148" s="309"/>
      <c r="BD148" s="310"/>
      <c r="BE148" s="307"/>
      <c r="BF148" s="308"/>
      <c r="BG148" s="309"/>
      <c r="BH148" s="310"/>
      <c r="BI148" s="307"/>
      <c r="BJ148" s="308"/>
      <c r="BK148" s="309"/>
      <c r="BL148" s="310"/>
      <c r="BM148" s="307"/>
      <c r="BN148" s="308"/>
      <c r="BO148" s="309"/>
      <c r="BP148" s="310"/>
      <c r="BQ148" s="307"/>
      <c r="BR148" s="308"/>
      <c r="BS148" s="309"/>
      <c r="BT148" s="310"/>
      <c r="BU148" s="307"/>
      <c r="BV148" s="308"/>
      <c r="BW148" s="309"/>
      <c r="BX148" s="310"/>
      <c r="BY148" s="313"/>
      <c r="BZ148" s="307"/>
      <c r="CA148" s="308"/>
      <c r="CB148" s="309"/>
      <c r="CC148" s="310"/>
    </row>
    <row r="149" spans="1:81" ht="12.75">
      <c r="A149" s="307"/>
      <c r="B149" s="308"/>
      <c r="C149" s="309"/>
      <c r="D149" s="310"/>
      <c r="E149" s="311"/>
      <c r="H149" s="212"/>
      <c r="I149" s="307"/>
      <c r="J149" s="308"/>
      <c r="K149" s="309"/>
      <c r="L149" s="310"/>
      <c r="M149" s="307"/>
      <c r="N149" s="308"/>
      <c r="O149" s="309"/>
      <c r="P149" s="310"/>
      <c r="Q149" s="307"/>
      <c r="R149" s="308"/>
      <c r="S149" s="309"/>
      <c r="T149" s="310"/>
      <c r="U149" s="307"/>
      <c r="V149" s="308"/>
      <c r="W149" s="309"/>
      <c r="X149" s="310"/>
      <c r="Y149" s="307"/>
      <c r="Z149" s="308"/>
      <c r="AA149" s="309"/>
      <c r="AB149" s="310"/>
      <c r="AC149" s="307"/>
      <c r="AD149" s="308"/>
      <c r="AE149" s="309"/>
      <c r="AF149" s="310"/>
      <c r="AG149" s="307"/>
      <c r="AH149" s="308"/>
      <c r="AI149" s="309"/>
      <c r="AJ149" s="310"/>
      <c r="AK149" s="307"/>
      <c r="AL149" s="308"/>
      <c r="AM149" s="309"/>
      <c r="AN149" s="310"/>
      <c r="AO149" s="307"/>
      <c r="AP149" s="308"/>
      <c r="AQ149" s="309"/>
      <c r="AR149" s="310"/>
      <c r="AS149" s="307"/>
      <c r="AT149" s="308"/>
      <c r="AU149" s="309"/>
      <c r="AV149" s="310"/>
      <c r="AW149" s="307"/>
      <c r="AX149" s="308"/>
      <c r="AY149" s="309"/>
      <c r="AZ149" s="312"/>
      <c r="BA149" s="307"/>
      <c r="BB149" s="308"/>
      <c r="BC149" s="309"/>
      <c r="BD149" s="310"/>
      <c r="BE149" s="307"/>
      <c r="BF149" s="308"/>
      <c r="BG149" s="309"/>
      <c r="BH149" s="310"/>
      <c r="BI149" s="307"/>
      <c r="BJ149" s="308"/>
      <c r="BK149" s="309"/>
      <c r="BL149" s="310"/>
      <c r="BM149" s="307"/>
      <c r="BN149" s="308"/>
      <c r="BO149" s="309"/>
      <c r="BP149" s="310"/>
      <c r="BQ149" s="307"/>
      <c r="BR149" s="308"/>
      <c r="BS149" s="309"/>
      <c r="BT149" s="310"/>
      <c r="BU149" s="307"/>
      <c r="BV149" s="308"/>
      <c r="BW149" s="309"/>
      <c r="BX149" s="310"/>
      <c r="BY149" s="313"/>
      <c r="BZ149" s="307"/>
      <c r="CA149" s="308"/>
      <c r="CB149" s="309"/>
      <c r="CC149" s="310"/>
    </row>
    <row r="150" spans="1:81" ht="12.75">
      <c r="A150" s="307"/>
      <c r="B150" s="308"/>
      <c r="C150" s="309"/>
      <c r="D150" s="310"/>
      <c r="E150" s="311"/>
      <c r="F150" s="324"/>
      <c r="G150" s="324"/>
      <c r="H150" s="212"/>
      <c r="I150" s="307"/>
      <c r="J150" s="308"/>
      <c r="K150" s="309"/>
      <c r="L150" s="310"/>
      <c r="M150" s="307"/>
      <c r="N150" s="308"/>
      <c r="O150" s="309"/>
      <c r="P150" s="310"/>
      <c r="Q150" s="307"/>
      <c r="R150" s="308"/>
      <c r="S150" s="309"/>
      <c r="T150" s="310"/>
      <c r="U150" s="307"/>
      <c r="V150" s="308"/>
      <c r="W150" s="309"/>
      <c r="X150" s="310"/>
      <c r="Y150" s="307"/>
      <c r="Z150" s="308"/>
      <c r="AA150" s="309"/>
      <c r="AB150" s="310"/>
      <c r="AC150" s="307"/>
      <c r="AD150" s="308"/>
      <c r="AE150" s="309"/>
      <c r="AF150" s="310"/>
      <c r="AG150" s="307"/>
      <c r="AH150" s="308"/>
      <c r="AI150" s="309"/>
      <c r="AJ150" s="310"/>
      <c r="AK150" s="307"/>
      <c r="AL150" s="308"/>
      <c r="AM150" s="309"/>
      <c r="AN150" s="310"/>
      <c r="AO150" s="307"/>
      <c r="AP150" s="308"/>
      <c r="AQ150" s="309"/>
      <c r="AR150" s="310"/>
      <c r="AS150" s="307"/>
      <c r="AT150" s="308"/>
      <c r="AU150" s="309"/>
      <c r="AV150" s="310"/>
      <c r="AW150" s="307"/>
      <c r="AX150" s="308"/>
      <c r="AY150" s="309"/>
      <c r="AZ150" s="312"/>
      <c r="BA150" s="307"/>
      <c r="BB150" s="308"/>
      <c r="BC150" s="309"/>
      <c r="BD150" s="310"/>
      <c r="BE150" s="307"/>
      <c r="BF150" s="308"/>
      <c r="BG150" s="309"/>
      <c r="BH150" s="310"/>
      <c r="BI150" s="307"/>
      <c r="BJ150" s="308"/>
      <c r="BK150" s="309"/>
      <c r="BL150" s="310"/>
      <c r="BM150" s="307"/>
      <c r="BN150" s="308"/>
      <c r="BO150" s="309"/>
      <c r="BP150" s="310"/>
      <c r="BQ150" s="307"/>
      <c r="BR150" s="308"/>
      <c r="BS150" s="309"/>
      <c r="BT150" s="310"/>
      <c r="BU150" s="307"/>
      <c r="BV150" s="308"/>
      <c r="BW150" s="309"/>
      <c r="BX150" s="310"/>
      <c r="BY150" s="313"/>
      <c r="BZ150" s="307"/>
      <c r="CA150" s="308"/>
      <c r="CB150" s="309"/>
      <c r="CC150" s="310"/>
    </row>
    <row r="151" spans="3:81" ht="12.75">
      <c r="C151" s="47"/>
      <c r="D151" s="47"/>
      <c r="K151" s="47"/>
      <c r="L151" s="47"/>
      <c r="O151" s="47"/>
      <c r="P151" s="47"/>
      <c r="S151" s="47"/>
      <c r="T151" s="47"/>
      <c r="W151" s="47"/>
      <c r="X151" s="47"/>
      <c r="AA151" s="47"/>
      <c r="AB151" s="47"/>
      <c r="AE151" s="47"/>
      <c r="AF151" s="47"/>
      <c r="AI151" s="47"/>
      <c r="AJ151" s="47"/>
      <c r="AM151" s="47"/>
      <c r="AN151" s="47"/>
      <c r="AQ151" s="47"/>
      <c r="AR151" s="47"/>
      <c r="AU151" s="47"/>
      <c r="AV151" s="47"/>
      <c r="AY151" s="47"/>
      <c r="AZ151" s="47"/>
      <c r="BC151" s="47"/>
      <c r="BD151" s="47"/>
      <c r="BG151" s="47"/>
      <c r="BH151" s="47"/>
      <c r="BK151" s="47"/>
      <c r="BL151" s="47"/>
      <c r="BO151" s="47"/>
      <c r="BP151" s="47"/>
      <c r="BQ151" s="32"/>
      <c r="BR151" s="32"/>
      <c r="BS151" s="155"/>
      <c r="BT151" s="155"/>
      <c r="BW151" s="47"/>
      <c r="BX151" s="47"/>
      <c r="CB151" s="47"/>
      <c r="CC151" s="47"/>
    </row>
    <row r="152" spans="1:81" ht="15">
      <c r="A152" s="29"/>
      <c r="B152" s="144" t="s">
        <v>65</v>
      </c>
      <c r="D152" s="144" t="s">
        <v>235</v>
      </c>
      <c r="E152" s="38"/>
      <c r="I152" s="29"/>
      <c r="J152" s="144" t="s">
        <v>65</v>
      </c>
      <c r="L152" s="144" t="s">
        <v>235</v>
      </c>
      <c r="M152" s="29"/>
      <c r="N152" s="144" t="s">
        <v>65</v>
      </c>
      <c r="P152" s="144" t="s">
        <v>235</v>
      </c>
      <c r="Q152" s="29"/>
      <c r="R152" s="144" t="s">
        <v>65</v>
      </c>
      <c r="T152" s="144" t="s">
        <v>235</v>
      </c>
      <c r="U152" s="29"/>
      <c r="V152" s="144" t="s">
        <v>65</v>
      </c>
      <c r="X152" s="144" t="s">
        <v>235</v>
      </c>
      <c r="Y152" s="29"/>
      <c r="Z152" s="144" t="s">
        <v>65</v>
      </c>
      <c r="AB152" s="144" t="s">
        <v>235</v>
      </c>
      <c r="AC152" s="29"/>
      <c r="AD152" s="144" t="s">
        <v>65</v>
      </c>
      <c r="AF152" s="144" t="s">
        <v>235</v>
      </c>
      <c r="AG152" s="29"/>
      <c r="AH152" s="144" t="s">
        <v>65</v>
      </c>
      <c r="AJ152" s="144" t="s">
        <v>235</v>
      </c>
      <c r="AK152" s="29"/>
      <c r="AL152" s="144" t="s">
        <v>65</v>
      </c>
      <c r="AN152" s="144" t="s">
        <v>235</v>
      </c>
      <c r="AO152" s="29"/>
      <c r="AP152" s="144" t="s">
        <v>65</v>
      </c>
      <c r="AR152" s="144" t="s">
        <v>235</v>
      </c>
      <c r="AS152" s="29"/>
      <c r="AT152" s="144" t="s">
        <v>65</v>
      </c>
      <c r="AV152" s="144" t="s">
        <v>235</v>
      </c>
      <c r="AW152" s="29"/>
      <c r="AX152" s="144" t="s">
        <v>65</v>
      </c>
      <c r="AZ152" s="144" t="s">
        <v>235</v>
      </c>
      <c r="BA152" s="29"/>
      <c r="BB152" s="144" t="s">
        <v>65</v>
      </c>
      <c r="BD152" s="144" t="s">
        <v>235</v>
      </c>
      <c r="BE152" s="29"/>
      <c r="BF152" s="144" t="s">
        <v>65</v>
      </c>
      <c r="BH152" s="144" t="s">
        <v>235</v>
      </c>
      <c r="BI152" s="29"/>
      <c r="BJ152" s="144" t="s">
        <v>65</v>
      </c>
      <c r="BL152" s="144" t="s">
        <v>235</v>
      </c>
      <c r="BM152" s="29"/>
      <c r="BN152" s="144" t="s">
        <v>65</v>
      </c>
      <c r="BP152" s="144" t="s">
        <v>235</v>
      </c>
      <c r="BQ152" s="29"/>
      <c r="BR152" s="144" t="s">
        <v>65</v>
      </c>
      <c r="BS152" s="32"/>
      <c r="BT152" s="144" t="s">
        <v>235</v>
      </c>
      <c r="BU152" s="29"/>
      <c r="BV152" s="144" t="s">
        <v>65</v>
      </c>
      <c r="BW152" s="32"/>
      <c r="BX152" s="144" t="s">
        <v>235</v>
      </c>
      <c r="BZ152" s="29"/>
      <c r="CA152" s="144" t="s">
        <v>65</v>
      </c>
      <c r="CB152" s="32"/>
      <c r="CC152" s="144" t="s">
        <v>235</v>
      </c>
    </row>
    <row r="153" spans="1:81" ht="15">
      <c r="A153" s="29"/>
      <c r="B153" s="144"/>
      <c r="C153" s="144"/>
      <c r="D153" s="144"/>
      <c r="I153" s="29"/>
      <c r="J153" s="144"/>
      <c r="K153" s="144"/>
      <c r="L153" s="144"/>
      <c r="M153" s="29"/>
      <c r="N153" s="144"/>
      <c r="O153" s="144"/>
      <c r="P153" s="144"/>
      <c r="Q153" s="29"/>
      <c r="R153" s="144"/>
      <c r="S153" s="144"/>
      <c r="T153" s="144"/>
      <c r="U153" s="29"/>
      <c r="V153" s="144"/>
      <c r="W153" s="144"/>
      <c r="X153" s="144"/>
      <c r="Y153" s="29"/>
      <c r="Z153" s="144"/>
      <c r="AA153" s="144"/>
      <c r="AB153" s="144"/>
      <c r="AC153" s="29"/>
      <c r="AD153" s="144"/>
      <c r="AE153" s="144"/>
      <c r="AF153" s="144"/>
      <c r="AG153" s="29"/>
      <c r="AH153" s="144"/>
      <c r="AI153" s="144"/>
      <c r="AJ153" s="144"/>
      <c r="AK153" s="29"/>
      <c r="AL153" s="144"/>
      <c r="AM153" s="144"/>
      <c r="AN153" s="144"/>
      <c r="AO153" s="29"/>
      <c r="AP153" s="144"/>
      <c r="AQ153" s="144"/>
      <c r="AR153" s="144"/>
      <c r="AS153" s="29"/>
      <c r="AT153" s="144"/>
      <c r="AU153" s="144"/>
      <c r="AV153" s="144"/>
      <c r="AW153" s="29"/>
      <c r="AX153" s="144"/>
      <c r="AY153" s="144"/>
      <c r="AZ153" s="144"/>
      <c r="BA153" s="29"/>
      <c r="BB153" s="144"/>
      <c r="BC153" s="144"/>
      <c r="BD153" s="144"/>
      <c r="BE153" s="29"/>
      <c r="BF153" s="144"/>
      <c r="BG153" s="144"/>
      <c r="BH153" s="144"/>
      <c r="BI153" s="29"/>
      <c r="BJ153" s="144"/>
      <c r="BK153" s="144"/>
      <c r="BL153" s="144"/>
      <c r="BM153" s="29"/>
      <c r="BN153" s="144"/>
      <c r="BO153" s="144"/>
      <c r="BP153" s="144"/>
      <c r="BQ153" s="29"/>
      <c r="BR153" s="144"/>
      <c r="BS153" s="144"/>
      <c r="BT153" s="144"/>
      <c r="BU153" s="29"/>
      <c r="BV153" s="144"/>
      <c r="BW153" s="144"/>
      <c r="BX153" s="144"/>
      <c r="BZ153" s="29"/>
      <c r="CA153" s="144"/>
      <c r="CB153" s="144"/>
      <c r="CC153" s="144"/>
    </row>
    <row r="154" spans="1:81" ht="15">
      <c r="A154" s="34"/>
      <c r="B154" s="145" t="s">
        <v>79</v>
      </c>
      <c r="D154" s="145" t="s">
        <v>236</v>
      </c>
      <c r="E154" s="29"/>
      <c r="I154" s="34"/>
      <c r="J154" s="145" t="s">
        <v>79</v>
      </c>
      <c r="L154" s="145" t="s">
        <v>236</v>
      </c>
      <c r="M154" s="34"/>
      <c r="N154" s="145" t="s">
        <v>79</v>
      </c>
      <c r="P154" s="145" t="s">
        <v>236</v>
      </c>
      <c r="Q154" s="34"/>
      <c r="R154" s="145" t="s">
        <v>79</v>
      </c>
      <c r="T154" s="145" t="s">
        <v>236</v>
      </c>
      <c r="U154" s="34"/>
      <c r="V154" s="145" t="s">
        <v>79</v>
      </c>
      <c r="X154" s="145" t="s">
        <v>236</v>
      </c>
      <c r="Y154" s="34"/>
      <c r="Z154" s="145" t="s">
        <v>79</v>
      </c>
      <c r="AB154" s="145" t="s">
        <v>236</v>
      </c>
      <c r="AC154" s="34"/>
      <c r="AD154" s="145" t="s">
        <v>79</v>
      </c>
      <c r="AF154" s="145" t="s">
        <v>236</v>
      </c>
      <c r="AG154" s="34"/>
      <c r="AH154" s="145" t="s">
        <v>79</v>
      </c>
      <c r="AJ154" s="145" t="s">
        <v>236</v>
      </c>
      <c r="AK154" s="34"/>
      <c r="AL154" s="145" t="s">
        <v>79</v>
      </c>
      <c r="AN154" s="145" t="s">
        <v>236</v>
      </c>
      <c r="AO154" s="34"/>
      <c r="AP154" s="145" t="s">
        <v>79</v>
      </c>
      <c r="AR154" s="145" t="s">
        <v>236</v>
      </c>
      <c r="AS154" s="34"/>
      <c r="AT154" s="145" t="s">
        <v>79</v>
      </c>
      <c r="AV154" s="145" t="s">
        <v>236</v>
      </c>
      <c r="AW154" s="34"/>
      <c r="AX154" s="145" t="s">
        <v>79</v>
      </c>
      <c r="AZ154" s="145" t="s">
        <v>236</v>
      </c>
      <c r="BA154" s="34"/>
      <c r="BB154" s="145" t="s">
        <v>79</v>
      </c>
      <c r="BD154" s="145" t="s">
        <v>236</v>
      </c>
      <c r="BE154" s="34"/>
      <c r="BF154" s="145" t="s">
        <v>79</v>
      </c>
      <c r="BH154" s="145" t="s">
        <v>236</v>
      </c>
      <c r="BI154" s="34"/>
      <c r="BJ154" s="145" t="s">
        <v>79</v>
      </c>
      <c r="BL154" s="145" t="s">
        <v>236</v>
      </c>
      <c r="BM154" s="34"/>
      <c r="BN154" s="145" t="s">
        <v>79</v>
      </c>
      <c r="BP154" s="145" t="s">
        <v>236</v>
      </c>
      <c r="BQ154" s="34"/>
      <c r="BR154" s="145" t="s">
        <v>79</v>
      </c>
      <c r="BS154" s="32"/>
      <c r="BT154" s="145" t="s">
        <v>236</v>
      </c>
      <c r="BU154" s="34"/>
      <c r="BV154" s="145" t="s">
        <v>79</v>
      </c>
      <c r="BW154" s="32"/>
      <c r="BX154" s="145" t="s">
        <v>236</v>
      </c>
      <c r="BZ154" s="34"/>
      <c r="CA154" s="145" t="s">
        <v>79</v>
      </c>
      <c r="CB154" s="32"/>
      <c r="CC154" s="145" t="s">
        <v>236</v>
      </c>
    </row>
    <row r="155" spans="1:81" ht="15">
      <c r="A155" s="34"/>
      <c r="B155" s="145"/>
      <c r="C155" s="145"/>
      <c r="D155" s="145"/>
      <c r="E155" s="29"/>
      <c r="I155" s="34"/>
      <c r="J155" s="145"/>
      <c r="K155" s="145"/>
      <c r="L155" s="145"/>
      <c r="M155" s="34"/>
      <c r="N155" s="145"/>
      <c r="O155" s="145"/>
      <c r="P155" s="145"/>
      <c r="Q155" s="34"/>
      <c r="R155" s="145"/>
      <c r="S155" s="145"/>
      <c r="T155" s="145"/>
      <c r="U155" s="34"/>
      <c r="V155" s="145"/>
      <c r="W155" s="145"/>
      <c r="X155" s="145"/>
      <c r="Y155" s="34"/>
      <c r="Z155" s="145"/>
      <c r="AA155" s="145"/>
      <c r="AB155" s="145"/>
      <c r="AC155" s="34"/>
      <c r="AD155" s="145"/>
      <c r="AE155" s="145"/>
      <c r="AF155" s="145"/>
      <c r="AG155" s="34"/>
      <c r="AH155" s="145"/>
      <c r="AI155" s="145"/>
      <c r="AJ155" s="145"/>
      <c r="AK155" s="34"/>
      <c r="AL155" s="145"/>
      <c r="AM155" s="145"/>
      <c r="AN155" s="145"/>
      <c r="AO155" s="34"/>
      <c r="AP155" s="145"/>
      <c r="AQ155" s="145"/>
      <c r="AR155" s="145"/>
      <c r="AS155" s="34"/>
      <c r="AT155" s="145"/>
      <c r="AU155" s="145"/>
      <c r="AV155" s="145"/>
      <c r="AW155" s="34"/>
      <c r="AX155" s="145"/>
      <c r="AY155" s="145"/>
      <c r="AZ155" s="145"/>
      <c r="BA155" s="34"/>
      <c r="BB155" s="145"/>
      <c r="BC155" s="145"/>
      <c r="BD155" s="145"/>
      <c r="BE155" s="34"/>
      <c r="BF155" s="145"/>
      <c r="BG155" s="145"/>
      <c r="BH155" s="145"/>
      <c r="BI155" s="34"/>
      <c r="BJ155" s="145"/>
      <c r="BK155" s="145"/>
      <c r="BL155" s="145"/>
      <c r="BM155" s="34"/>
      <c r="BN155" s="145"/>
      <c r="BO155" s="145"/>
      <c r="BP155" s="145"/>
      <c r="BQ155" s="34"/>
      <c r="BR155" s="145"/>
      <c r="BS155" s="145"/>
      <c r="BT155" s="145"/>
      <c r="BU155" s="34"/>
      <c r="BV155" s="145"/>
      <c r="BW155" s="145"/>
      <c r="BX155" s="145"/>
      <c r="BZ155" s="34"/>
      <c r="CA155" s="145"/>
      <c r="CB155" s="145"/>
      <c r="CC155" s="145"/>
    </row>
    <row r="156" spans="1:81" ht="15">
      <c r="A156" s="29"/>
      <c r="B156" s="144" t="s">
        <v>293</v>
      </c>
      <c r="D156" s="144" t="s">
        <v>300</v>
      </c>
      <c r="E156" s="29"/>
      <c r="I156" s="29"/>
      <c r="J156" s="144" t="s">
        <v>293</v>
      </c>
      <c r="L156" s="144" t="s">
        <v>300</v>
      </c>
      <c r="M156" s="29"/>
      <c r="N156" s="144" t="s">
        <v>293</v>
      </c>
      <c r="P156" s="144" t="s">
        <v>300</v>
      </c>
      <c r="Q156" s="29"/>
      <c r="R156" s="144" t="s">
        <v>293</v>
      </c>
      <c r="T156" s="144" t="s">
        <v>300</v>
      </c>
      <c r="U156" s="29"/>
      <c r="V156" s="144" t="s">
        <v>293</v>
      </c>
      <c r="X156" s="144" t="s">
        <v>300</v>
      </c>
      <c r="Y156" s="29"/>
      <c r="Z156" s="144" t="s">
        <v>293</v>
      </c>
      <c r="AB156" s="144" t="s">
        <v>300</v>
      </c>
      <c r="AC156" s="29"/>
      <c r="AD156" s="144" t="s">
        <v>293</v>
      </c>
      <c r="AF156" s="144" t="s">
        <v>300</v>
      </c>
      <c r="AG156" s="29"/>
      <c r="AH156" s="144" t="s">
        <v>293</v>
      </c>
      <c r="AJ156" s="144" t="s">
        <v>300</v>
      </c>
      <c r="AK156" s="29"/>
      <c r="AL156" s="144" t="s">
        <v>293</v>
      </c>
      <c r="AN156" s="144" t="s">
        <v>300</v>
      </c>
      <c r="AO156" s="29"/>
      <c r="AP156" s="144" t="s">
        <v>293</v>
      </c>
      <c r="AR156" s="144" t="s">
        <v>300</v>
      </c>
      <c r="AS156" s="29"/>
      <c r="AT156" s="144" t="s">
        <v>293</v>
      </c>
      <c r="AV156" s="144" t="s">
        <v>300</v>
      </c>
      <c r="AW156" s="29"/>
      <c r="AX156" s="144" t="s">
        <v>293</v>
      </c>
      <c r="AZ156" s="144" t="s">
        <v>300</v>
      </c>
      <c r="BA156" s="29"/>
      <c r="BB156" s="144" t="s">
        <v>293</v>
      </c>
      <c r="BD156" s="144" t="s">
        <v>300</v>
      </c>
      <c r="BE156" s="29"/>
      <c r="BF156" s="144" t="s">
        <v>293</v>
      </c>
      <c r="BH156" s="144" t="s">
        <v>300</v>
      </c>
      <c r="BI156" s="29"/>
      <c r="BJ156" s="144" t="s">
        <v>293</v>
      </c>
      <c r="BL156" s="144" t="s">
        <v>300</v>
      </c>
      <c r="BM156" s="29"/>
      <c r="BN156" s="144" t="s">
        <v>293</v>
      </c>
      <c r="BP156" s="144" t="s">
        <v>300</v>
      </c>
      <c r="BQ156" s="29"/>
      <c r="BR156" s="144" t="s">
        <v>293</v>
      </c>
      <c r="BS156" s="32"/>
      <c r="BT156" s="144" t="s">
        <v>300</v>
      </c>
      <c r="BU156" s="29"/>
      <c r="BV156" s="144" t="s">
        <v>293</v>
      </c>
      <c r="BW156" s="32"/>
      <c r="BX156" s="144" t="s">
        <v>300</v>
      </c>
      <c r="BZ156" s="29"/>
      <c r="CA156" s="144" t="s">
        <v>293</v>
      </c>
      <c r="CB156" s="32"/>
      <c r="CC156" s="144" t="s">
        <v>300</v>
      </c>
    </row>
    <row r="157" spans="1:81" ht="15">
      <c r="A157" s="29"/>
      <c r="B157" s="144"/>
      <c r="D157" s="156"/>
      <c r="E157" s="29"/>
      <c r="I157" s="29"/>
      <c r="J157" s="144"/>
      <c r="L157" s="156"/>
      <c r="M157" s="29"/>
      <c r="N157" s="144"/>
      <c r="P157" s="156"/>
      <c r="Q157" s="29"/>
      <c r="R157" s="144"/>
      <c r="T157" s="156"/>
      <c r="U157" s="29"/>
      <c r="V157" s="144"/>
      <c r="X157" s="156"/>
      <c r="Y157" s="29"/>
      <c r="Z157" s="144"/>
      <c r="AB157" s="156"/>
      <c r="AC157" s="29"/>
      <c r="AD157" s="144"/>
      <c r="AF157" s="156"/>
      <c r="AG157" s="29"/>
      <c r="AH157" s="144"/>
      <c r="AJ157" s="156"/>
      <c r="AK157" s="29"/>
      <c r="AL157" s="144"/>
      <c r="AN157" s="156"/>
      <c r="AO157" s="29"/>
      <c r="AP157" s="144"/>
      <c r="AR157" s="156"/>
      <c r="AS157" s="29"/>
      <c r="AT157" s="144"/>
      <c r="AV157" s="156"/>
      <c r="AW157" s="29"/>
      <c r="AX157" s="144"/>
      <c r="AZ157" s="156"/>
      <c r="BA157" s="29"/>
      <c r="BB157" s="144"/>
      <c r="BD157" s="156"/>
      <c r="BE157" s="29"/>
      <c r="BF157" s="144"/>
      <c r="BH157" s="156"/>
      <c r="BI157" s="29"/>
      <c r="BJ157" s="144"/>
      <c r="BL157" s="156"/>
      <c r="BM157" s="29"/>
      <c r="BN157" s="144"/>
      <c r="BP157" s="156"/>
      <c r="BQ157" s="29"/>
      <c r="BR157" s="144"/>
      <c r="BS157" s="32"/>
      <c r="BT157" s="156"/>
      <c r="BU157" s="29"/>
      <c r="BV157" s="144"/>
      <c r="BW157" s="32"/>
      <c r="BX157" s="156"/>
      <c r="BZ157" s="29"/>
      <c r="CA157" s="144"/>
      <c r="CB157" s="32"/>
      <c r="CC157" s="156"/>
    </row>
    <row r="158" spans="1:81" ht="15">
      <c r="A158" s="29"/>
      <c r="B158" s="144" t="s">
        <v>66</v>
      </c>
      <c r="D158" s="144" t="s">
        <v>234</v>
      </c>
      <c r="E158" s="29"/>
      <c r="I158" s="29"/>
      <c r="J158" s="144" t="s">
        <v>66</v>
      </c>
      <c r="L158" s="144" t="s">
        <v>234</v>
      </c>
      <c r="M158" s="29"/>
      <c r="N158" s="144" t="s">
        <v>66</v>
      </c>
      <c r="P158" s="144" t="s">
        <v>234</v>
      </c>
      <c r="Q158" s="29"/>
      <c r="R158" s="144" t="s">
        <v>66</v>
      </c>
      <c r="T158" s="144" t="s">
        <v>234</v>
      </c>
      <c r="U158" s="29"/>
      <c r="V158" s="144" t="s">
        <v>66</v>
      </c>
      <c r="X158" s="144" t="s">
        <v>234</v>
      </c>
      <c r="Y158" s="29"/>
      <c r="Z158" s="144" t="s">
        <v>66</v>
      </c>
      <c r="AB158" s="144" t="s">
        <v>234</v>
      </c>
      <c r="AC158" s="29"/>
      <c r="AD158" s="144" t="s">
        <v>66</v>
      </c>
      <c r="AF158" s="144" t="s">
        <v>234</v>
      </c>
      <c r="AG158" s="29"/>
      <c r="AH158" s="144" t="s">
        <v>66</v>
      </c>
      <c r="AJ158" s="144" t="s">
        <v>234</v>
      </c>
      <c r="AK158" s="29"/>
      <c r="AL158" s="144" t="s">
        <v>66</v>
      </c>
      <c r="AN158" s="144" t="s">
        <v>234</v>
      </c>
      <c r="AO158" s="29"/>
      <c r="AP158" s="144" t="s">
        <v>66</v>
      </c>
      <c r="AR158" s="144" t="s">
        <v>234</v>
      </c>
      <c r="AS158" s="29"/>
      <c r="AT158" s="144" t="s">
        <v>66</v>
      </c>
      <c r="AV158" s="144" t="s">
        <v>234</v>
      </c>
      <c r="AW158" s="29"/>
      <c r="AX158" s="144" t="s">
        <v>66</v>
      </c>
      <c r="AZ158" s="144" t="s">
        <v>234</v>
      </c>
      <c r="BA158" s="29"/>
      <c r="BB158" s="144" t="s">
        <v>66</v>
      </c>
      <c r="BD158" s="144" t="s">
        <v>234</v>
      </c>
      <c r="BE158" s="29"/>
      <c r="BF158" s="144" t="s">
        <v>66</v>
      </c>
      <c r="BH158" s="144" t="s">
        <v>234</v>
      </c>
      <c r="BI158" s="29"/>
      <c r="BJ158" s="144" t="s">
        <v>66</v>
      </c>
      <c r="BL158" s="144" t="s">
        <v>234</v>
      </c>
      <c r="BM158" s="29"/>
      <c r="BN158" s="144" t="s">
        <v>66</v>
      </c>
      <c r="BP158" s="144" t="s">
        <v>234</v>
      </c>
      <c r="BQ158" s="29"/>
      <c r="BR158" s="144" t="s">
        <v>66</v>
      </c>
      <c r="BS158" s="32"/>
      <c r="BT158" s="144" t="s">
        <v>234</v>
      </c>
      <c r="BU158" s="29"/>
      <c r="BV158" s="144" t="s">
        <v>66</v>
      </c>
      <c r="BW158" s="32"/>
      <c r="BX158" s="144" t="s">
        <v>234</v>
      </c>
      <c r="BZ158" s="29"/>
      <c r="CA158" s="144" t="s">
        <v>66</v>
      </c>
      <c r="CB158" s="32"/>
      <c r="CC158" s="144" t="s">
        <v>234</v>
      </c>
    </row>
    <row r="159" spans="1:81" ht="15">
      <c r="A159" s="29"/>
      <c r="B159" s="148"/>
      <c r="C159" s="144"/>
      <c r="D159" s="144"/>
      <c r="E159" s="29"/>
      <c r="I159" s="29"/>
      <c r="J159" s="33"/>
      <c r="K159" s="48"/>
      <c r="L159" s="48"/>
      <c r="M159" s="29"/>
      <c r="N159" s="33"/>
      <c r="O159" s="48"/>
      <c r="P159" s="48"/>
      <c r="Q159" s="29"/>
      <c r="R159" s="33"/>
      <c r="S159" s="48"/>
      <c r="T159" s="48"/>
      <c r="U159" s="29"/>
      <c r="V159" s="33"/>
      <c r="W159" s="48"/>
      <c r="X159" s="48"/>
      <c r="Y159" s="29"/>
      <c r="Z159" s="33"/>
      <c r="AA159" s="48"/>
      <c r="AB159" s="48"/>
      <c r="AC159" s="29"/>
      <c r="AD159" s="33"/>
      <c r="AE159" s="48"/>
      <c r="AF159" s="48"/>
      <c r="AG159" s="29"/>
      <c r="AH159" s="33"/>
      <c r="AI159" s="48"/>
      <c r="AJ159" s="48"/>
      <c r="AK159" s="29"/>
      <c r="AL159" s="33"/>
      <c r="AM159" s="48"/>
      <c r="AN159" s="48"/>
      <c r="AO159" s="29"/>
      <c r="AP159" s="33"/>
      <c r="AQ159" s="48"/>
      <c r="AR159" s="48"/>
      <c r="AS159" s="29"/>
      <c r="AT159" s="33"/>
      <c r="AU159" s="48"/>
      <c r="AV159" s="48"/>
      <c r="AW159" s="29"/>
      <c r="AX159" s="33"/>
      <c r="AY159" s="48"/>
      <c r="AZ159" s="48"/>
      <c r="BA159" s="29"/>
      <c r="BB159" s="33"/>
      <c r="BC159" s="48"/>
      <c r="BD159" s="48"/>
      <c r="BE159" s="29"/>
      <c r="BF159" s="33"/>
      <c r="BG159" s="48"/>
      <c r="BH159" s="48"/>
      <c r="BI159" s="29"/>
      <c r="BJ159" s="33"/>
      <c r="BK159" s="48"/>
      <c r="BL159" s="48"/>
      <c r="BM159" s="29"/>
      <c r="BN159" s="33"/>
      <c r="BO159" s="48"/>
      <c r="BP159" s="48"/>
      <c r="BQ159" s="29"/>
      <c r="BR159" s="33"/>
      <c r="BS159" s="48"/>
      <c r="BT159" s="48"/>
      <c r="BU159" s="29"/>
      <c r="BV159" s="33"/>
      <c r="BW159" s="48"/>
      <c r="BX159" s="48"/>
      <c r="BZ159" s="29"/>
      <c r="CA159" s="33"/>
      <c r="CB159" s="48"/>
      <c r="CC159" s="48"/>
    </row>
    <row r="160" spans="2:81" s="29" customFormat="1" ht="18.75" customHeight="1">
      <c r="B160" s="33"/>
      <c r="C160" s="749"/>
      <c r="D160" s="749"/>
      <c r="J160" s="157" t="s">
        <v>263</v>
      </c>
      <c r="K160" s="749"/>
      <c r="L160" s="749"/>
      <c r="N160" s="144" t="s">
        <v>264</v>
      </c>
      <c r="O160" s="749"/>
      <c r="P160" s="749"/>
      <c r="R160" s="144" t="s">
        <v>265</v>
      </c>
      <c r="S160" s="749"/>
      <c r="T160" s="749"/>
      <c r="V160" s="144" t="s">
        <v>266</v>
      </c>
      <c r="W160" s="749"/>
      <c r="X160" s="749"/>
      <c r="Z160" s="144" t="s">
        <v>267</v>
      </c>
      <c r="AA160" s="749"/>
      <c r="AB160" s="749"/>
      <c r="AD160" s="144" t="s">
        <v>268</v>
      </c>
      <c r="AE160" s="749"/>
      <c r="AF160" s="749"/>
      <c r="AH160" s="144" t="s">
        <v>269</v>
      </c>
      <c r="AI160" s="749"/>
      <c r="AJ160" s="749"/>
      <c r="AL160" s="144" t="s">
        <v>270</v>
      </c>
      <c r="AM160" s="749"/>
      <c r="AN160" s="749"/>
      <c r="AP160" s="144" t="s">
        <v>271</v>
      </c>
      <c r="AQ160" s="749"/>
      <c r="AR160" s="749"/>
      <c r="AT160" s="144" t="s">
        <v>272</v>
      </c>
      <c r="AU160" s="749"/>
      <c r="AV160" s="749"/>
      <c r="AX160" s="144" t="s">
        <v>273</v>
      </c>
      <c r="AY160" s="749"/>
      <c r="AZ160" s="749"/>
      <c r="BB160" s="144" t="s">
        <v>274</v>
      </c>
      <c r="BC160" s="749"/>
      <c r="BD160" s="749"/>
      <c r="BF160" s="144" t="s">
        <v>275</v>
      </c>
      <c r="BG160" s="749"/>
      <c r="BH160" s="749"/>
      <c r="BJ160" s="144" t="s">
        <v>276</v>
      </c>
      <c r="BK160" s="749"/>
      <c r="BL160" s="749"/>
      <c r="BN160" s="144" t="s">
        <v>277</v>
      </c>
      <c r="BO160" s="749"/>
      <c r="BP160" s="749"/>
      <c r="BR160" s="144" t="s">
        <v>278</v>
      </c>
      <c r="BS160" s="749"/>
      <c r="BT160" s="749"/>
      <c r="BV160" s="144" t="s">
        <v>279</v>
      </c>
      <c r="BW160" s="749"/>
      <c r="BX160" s="749"/>
      <c r="CA160" s="144" t="s">
        <v>413</v>
      </c>
      <c r="CB160" s="749"/>
      <c r="CC160" s="749"/>
    </row>
    <row r="161" spans="10:81" s="29" customFormat="1" ht="18.75" customHeight="1">
      <c r="J161" s="33"/>
      <c r="K161" s="749"/>
      <c r="L161" s="749"/>
      <c r="N161" s="33"/>
      <c r="O161" s="749"/>
      <c r="P161" s="749"/>
      <c r="R161" s="33"/>
      <c r="S161" s="749"/>
      <c r="T161" s="749"/>
      <c r="V161" s="33"/>
      <c r="W161" s="749"/>
      <c r="X161" s="749"/>
      <c r="Z161" s="33"/>
      <c r="AA161" s="749"/>
      <c r="AB161" s="749"/>
      <c r="AD161" s="33"/>
      <c r="AE161" s="749"/>
      <c r="AF161" s="749"/>
      <c r="AH161" s="33"/>
      <c r="AI161" s="749"/>
      <c r="AJ161" s="749"/>
      <c r="AL161" s="33"/>
      <c r="AM161" s="749"/>
      <c r="AN161" s="749"/>
      <c r="AP161" s="33"/>
      <c r="AQ161" s="749"/>
      <c r="AR161" s="749"/>
      <c r="AT161" s="33"/>
      <c r="AU161" s="749"/>
      <c r="AV161" s="749"/>
      <c r="AX161" s="33"/>
      <c r="AY161" s="749"/>
      <c r="AZ161" s="749"/>
      <c r="BB161" s="33"/>
      <c r="BC161" s="749"/>
      <c r="BD161" s="749"/>
      <c r="BF161" s="33"/>
      <c r="BG161" s="749"/>
      <c r="BH161" s="749"/>
      <c r="BJ161" s="33"/>
      <c r="BK161" s="749"/>
      <c r="BL161" s="749"/>
      <c r="BN161" s="33"/>
      <c r="BO161" s="749"/>
      <c r="BP161" s="749"/>
      <c r="BR161" s="33"/>
      <c r="BS161" s="749"/>
      <c r="BT161" s="749"/>
      <c r="BV161" s="33"/>
      <c r="BW161" s="749"/>
      <c r="BX161" s="749"/>
      <c r="CA161" s="33"/>
      <c r="CB161" s="749"/>
      <c r="CC161" s="749"/>
    </row>
    <row r="162" spans="10:76" s="29" customFormat="1" ht="18.75" customHeight="1">
      <c r="J162" s="33"/>
      <c r="K162" s="749"/>
      <c r="L162" s="749"/>
      <c r="N162" s="33"/>
      <c r="O162" s="749"/>
      <c r="P162" s="749"/>
      <c r="R162" s="33"/>
      <c r="S162" s="749"/>
      <c r="T162" s="749"/>
      <c r="V162" s="33"/>
      <c r="W162" s="749"/>
      <c r="X162" s="749"/>
      <c r="Z162" s="33"/>
      <c r="AA162" s="749"/>
      <c r="AB162" s="749"/>
      <c r="AD162" s="33"/>
      <c r="AE162" s="749"/>
      <c r="AF162" s="749"/>
      <c r="AH162" s="33"/>
      <c r="AI162" s="749"/>
      <c r="AJ162" s="749"/>
      <c r="AL162" s="33"/>
      <c r="AM162" s="749"/>
      <c r="AN162" s="749"/>
      <c r="AP162" s="33"/>
      <c r="AQ162" s="749"/>
      <c r="AR162" s="749"/>
      <c r="AT162" s="33"/>
      <c r="AU162" s="749"/>
      <c r="AV162" s="749"/>
      <c r="AX162" s="33"/>
      <c r="AY162" s="749"/>
      <c r="AZ162" s="749"/>
      <c r="BB162" s="33"/>
      <c r="BC162" s="749"/>
      <c r="BD162" s="749"/>
      <c r="BF162" s="33"/>
      <c r="BG162" s="749"/>
      <c r="BH162" s="749"/>
      <c r="BJ162" s="33"/>
      <c r="BK162" s="749"/>
      <c r="BL162" s="749"/>
      <c r="BN162" s="33"/>
      <c r="BO162" s="749"/>
      <c r="BP162" s="749"/>
      <c r="BR162" s="33"/>
      <c r="BS162" s="749"/>
      <c r="BT162" s="749"/>
      <c r="BV162" s="33"/>
      <c r="BW162" s="749"/>
      <c r="BX162" s="749"/>
    </row>
    <row r="163" spans="10:76" s="29" customFormat="1" ht="18.75" customHeight="1">
      <c r="J163" s="33"/>
      <c r="K163" s="749"/>
      <c r="L163" s="749"/>
      <c r="N163" s="33"/>
      <c r="O163" s="749"/>
      <c r="P163" s="749"/>
      <c r="R163" s="33"/>
      <c r="S163" s="749"/>
      <c r="T163" s="749"/>
      <c r="V163" s="33"/>
      <c r="W163" s="749"/>
      <c r="X163" s="749"/>
      <c r="Z163" s="33"/>
      <c r="AA163" s="749"/>
      <c r="AB163" s="749"/>
      <c r="AD163" s="33"/>
      <c r="AE163" s="749"/>
      <c r="AF163" s="749"/>
      <c r="AH163" s="33"/>
      <c r="AI163" s="749"/>
      <c r="AJ163" s="749"/>
      <c r="AL163" s="33"/>
      <c r="AM163" s="749"/>
      <c r="AN163" s="749"/>
      <c r="AP163" s="33"/>
      <c r="AQ163" s="749"/>
      <c r="AR163" s="749"/>
      <c r="AT163" s="33"/>
      <c r="AU163" s="749"/>
      <c r="AV163" s="749"/>
      <c r="AX163" s="33"/>
      <c r="AY163" s="749"/>
      <c r="AZ163" s="749"/>
      <c r="BB163" s="33"/>
      <c r="BC163" s="749"/>
      <c r="BD163" s="749"/>
      <c r="BF163" s="33"/>
      <c r="BG163" s="749"/>
      <c r="BH163" s="749"/>
      <c r="BJ163" s="33"/>
      <c r="BK163" s="749"/>
      <c r="BL163" s="749"/>
      <c r="BN163" s="33"/>
      <c r="BO163" s="749"/>
      <c r="BP163" s="749"/>
      <c r="BR163" s="33"/>
      <c r="BS163" s="749"/>
      <c r="BT163" s="749"/>
      <c r="BV163" s="33"/>
      <c r="BW163" s="749"/>
      <c r="BX163" s="749"/>
    </row>
    <row r="164" spans="10:76" s="29" customFormat="1" ht="18.75" customHeight="1">
      <c r="J164" s="33"/>
      <c r="K164" s="749"/>
      <c r="L164" s="749"/>
      <c r="N164" s="33"/>
      <c r="O164" s="749"/>
      <c r="P164" s="749"/>
      <c r="R164" s="33"/>
      <c r="S164" s="749"/>
      <c r="T164" s="749"/>
      <c r="V164" s="33"/>
      <c r="W164" s="749"/>
      <c r="X164" s="749"/>
      <c r="Z164" s="33"/>
      <c r="AA164" s="749"/>
      <c r="AB164" s="749"/>
      <c r="AD164" s="33"/>
      <c r="AE164" s="749"/>
      <c r="AF164" s="749"/>
      <c r="AH164" s="33"/>
      <c r="AI164" s="749"/>
      <c r="AJ164" s="749"/>
      <c r="AL164" s="33"/>
      <c r="AM164" s="749"/>
      <c r="AN164" s="749"/>
      <c r="AP164" s="33"/>
      <c r="AQ164" s="749"/>
      <c r="AR164" s="749"/>
      <c r="AT164" s="33"/>
      <c r="AU164" s="749"/>
      <c r="AV164" s="749"/>
      <c r="AX164" s="33"/>
      <c r="AY164" s="749"/>
      <c r="AZ164" s="749"/>
      <c r="BB164" s="33"/>
      <c r="BC164" s="749"/>
      <c r="BD164" s="749"/>
      <c r="BF164" s="33"/>
      <c r="BG164" s="749"/>
      <c r="BH164" s="749"/>
      <c r="BJ164" s="33"/>
      <c r="BK164" s="749"/>
      <c r="BL164" s="749"/>
      <c r="BN164" s="33"/>
      <c r="BO164" s="749"/>
      <c r="BP164" s="749"/>
      <c r="BR164" s="33"/>
      <c r="BS164" s="749"/>
      <c r="BT164" s="749"/>
      <c r="BV164" s="33"/>
      <c r="BW164" s="749"/>
      <c r="BX164" s="749"/>
    </row>
  </sheetData>
  <sheetProtection/>
  <mergeCells count="170">
    <mergeCell ref="G18:G20"/>
    <mergeCell ref="E19:E20"/>
    <mergeCell ref="F19:F20"/>
    <mergeCell ref="AL18:AL20"/>
    <mergeCell ref="BY18:BY20"/>
    <mergeCell ref="BU18:BU20"/>
    <mergeCell ref="BV18:BV20"/>
    <mergeCell ref="BX19:BX20"/>
    <mergeCell ref="BL19:BL20"/>
    <mergeCell ref="BA18:BA20"/>
    <mergeCell ref="BB18:BB20"/>
    <mergeCell ref="AK18:AK20"/>
    <mergeCell ref="AM18:AM20"/>
    <mergeCell ref="AO18:AO20"/>
    <mergeCell ref="AP18:AP20"/>
    <mergeCell ref="AZ19:AZ20"/>
    <mergeCell ref="BR18:BR20"/>
    <mergeCell ref="Y18:Y20"/>
    <mergeCell ref="Z18:Z20"/>
    <mergeCell ref="AC18:AC20"/>
    <mergeCell ref="AJ19:AJ20"/>
    <mergeCell ref="AI18:AI20"/>
    <mergeCell ref="AB19:AB20"/>
    <mergeCell ref="V18:V20"/>
    <mergeCell ref="C160:D160"/>
    <mergeCell ref="L19:L20"/>
    <mergeCell ref="J18:J20"/>
    <mergeCell ref="A7:D7"/>
    <mergeCell ref="A18:A20"/>
    <mergeCell ref="B18:B20"/>
    <mergeCell ref="C18:C20"/>
    <mergeCell ref="D19:D20"/>
    <mergeCell ref="E18:F18"/>
    <mergeCell ref="K160:L160"/>
    <mergeCell ref="S160:T160"/>
    <mergeCell ref="BW163:BX163"/>
    <mergeCell ref="BW164:BX164"/>
    <mergeCell ref="BS160:BT160"/>
    <mergeCell ref="BS161:BT161"/>
    <mergeCell ref="BW160:BX160"/>
    <mergeCell ref="BS164:BT164"/>
    <mergeCell ref="BW18:BW20"/>
    <mergeCell ref="BO164:BP164"/>
    <mergeCell ref="BQ18:BQ20"/>
    <mergeCell ref="BO160:BP160"/>
    <mergeCell ref="BO161:BP161"/>
    <mergeCell ref="BO18:BO20"/>
    <mergeCell ref="BT19:BT20"/>
    <mergeCell ref="BS18:BS20"/>
    <mergeCell ref="BK161:BL161"/>
    <mergeCell ref="BK162:BL162"/>
    <mergeCell ref="BS162:BT162"/>
    <mergeCell ref="BS163:BT163"/>
    <mergeCell ref="BO163:BP163"/>
    <mergeCell ref="BW162:BX162"/>
    <mergeCell ref="BK160:BL160"/>
    <mergeCell ref="BK163:BL163"/>
    <mergeCell ref="BK164:BL164"/>
    <mergeCell ref="BG163:BH163"/>
    <mergeCell ref="BF18:BF20"/>
    <mergeCell ref="BG18:BG20"/>
    <mergeCell ref="BH19:BH20"/>
    <mergeCell ref="BG160:BH160"/>
    <mergeCell ref="BG164:BH164"/>
    <mergeCell ref="BI18:BI20"/>
    <mergeCell ref="BC163:BD163"/>
    <mergeCell ref="BC164:BD164"/>
    <mergeCell ref="BE18:BE20"/>
    <mergeCell ref="BC160:BD160"/>
    <mergeCell ref="BC161:BD161"/>
    <mergeCell ref="BC18:BC20"/>
    <mergeCell ref="BD19:BD20"/>
    <mergeCell ref="AU164:AV164"/>
    <mergeCell ref="AW18:AW20"/>
    <mergeCell ref="AX18:AX20"/>
    <mergeCell ref="AY18:AY20"/>
    <mergeCell ref="AY161:AZ161"/>
    <mergeCell ref="AY162:AZ162"/>
    <mergeCell ref="AY163:AZ163"/>
    <mergeCell ref="AY164:AZ164"/>
    <mergeCell ref="AU161:AV161"/>
    <mergeCell ref="AU163:AV163"/>
    <mergeCell ref="AT18:AT20"/>
    <mergeCell ref="AU18:AU20"/>
    <mergeCell ref="AV19:AV20"/>
    <mergeCell ref="AU160:AV160"/>
    <mergeCell ref="AU162:AV162"/>
    <mergeCell ref="AQ164:AR164"/>
    <mergeCell ref="AS18:AS20"/>
    <mergeCell ref="AQ160:AR160"/>
    <mergeCell ref="AQ161:AR161"/>
    <mergeCell ref="AQ18:AQ20"/>
    <mergeCell ref="AR19:AR20"/>
    <mergeCell ref="AQ163:AR163"/>
    <mergeCell ref="AQ162:AR162"/>
    <mergeCell ref="AM164:AN164"/>
    <mergeCell ref="AE163:AF163"/>
    <mergeCell ref="AE161:AF161"/>
    <mergeCell ref="AI164:AJ164"/>
    <mergeCell ref="AI162:AJ162"/>
    <mergeCell ref="AI163:AJ163"/>
    <mergeCell ref="AM163:AN163"/>
    <mergeCell ref="AM161:AN161"/>
    <mergeCell ref="AM162:AN162"/>
    <mergeCell ref="AI161:AJ161"/>
    <mergeCell ref="AA164:AB164"/>
    <mergeCell ref="AE164:AF164"/>
    <mergeCell ref="AE18:AE20"/>
    <mergeCell ref="AA18:AA20"/>
    <mergeCell ref="AA163:AB163"/>
    <mergeCell ref="AA161:AB161"/>
    <mergeCell ref="AA162:AB162"/>
    <mergeCell ref="AE162:AF162"/>
    <mergeCell ref="S164:T164"/>
    <mergeCell ref="S161:T161"/>
    <mergeCell ref="W163:X163"/>
    <mergeCell ref="X19:X20"/>
    <mergeCell ref="W162:X162"/>
    <mergeCell ref="W164:X164"/>
    <mergeCell ref="W161:X161"/>
    <mergeCell ref="W18:W20"/>
    <mergeCell ref="W160:X160"/>
    <mergeCell ref="U18:U20"/>
    <mergeCell ref="CC19:CC20"/>
    <mergeCell ref="O164:P164"/>
    <mergeCell ref="O163:P163"/>
    <mergeCell ref="K164:L164"/>
    <mergeCell ref="K161:L161"/>
    <mergeCell ref="K162:L162"/>
    <mergeCell ref="K163:L163"/>
    <mergeCell ref="O162:P162"/>
    <mergeCell ref="O161:P161"/>
    <mergeCell ref="S163:T163"/>
    <mergeCell ref="BO162:BP162"/>
    <mergeCell ref="BN18:BN20"/>
    <mergeCell ref="AA160:AB160"/>
    <mergeCell ref="O160:P160"/>
    <mergeCell ref="Q18:Q20"/>
    <mergeCell ref="M18:M20"/>
    <mergeCell ref="N18:N20"/>
    <mergeCell ref="S18:S20"/>
    <mergeCell ref="T19:T20"/>
    <mergeCell ref="S162:T162"/>
    <mergeCell ref="BG161:BH161"/>
    <mergeCell ref="BC162:BD162"/>
    <mergeCell ref="AM160:AN160"/>
    <mergeCell ref="AI160:AJ160"/>
    <mergeCell ref="AE160:AF160"/>
    <mergeCell ref="AY160:AZ160"/>
    <mergeCell ref="BG162:BH162"/>
    <mergeCell ref="CB161:CC161"/>
    <mergeCell ref="R18:R20"/>
    <mergeCell ref="CB18:CB20"/>
    <mergeCell ref="CB160:CC160"/>
    <mergeCell ref="BW161:BX161"/>
    <mergeCell ref="AD18:AD20"/>
    <mergeCell ref="AN19:AN20"/>
    <mergeCell ref="AH18:AH20"/>
    <mergeCell ref="AF19:AF20"/>
    <mergeCell ref="AG18:AG20"/>
    <mergeCell ref="I18:I20"/>
    <mergeCell ref="K18:K20"/>
    <mergeCell ref="CA18:CA20"/>
    <mergeCell ref="BZ18:BZ20"/>
    <mergeCell ref="P19:P20"/>
    <mergeCell ref="O18:O20"/>
    <mergeCell ref="BM18:BM20"/>
    <mergeCell ref="BP19:BP20"/>
    <mergeCell ref="BJ18:BJ20"/>
    <mergeCell ref="BK18:BK20"/>
  </mergeCells>
  <printOptions/>
  <pageMargins left="0.75" right="0.75" top="0.52" bottom="0.29" header="0.36" footer="0.29"/>
  <pageSetup horizontalDpi="600" verticalDpi="600" orientation="portrait" paperSize="9" scale="62" r:id="rId1"/>
  <colBreaks count="18" manualBreakCount="18">
    <brk id="8" min="3" max="160" man="1"/>
    <brk id="12" min="3" max="160" man="1"/>
    <brk id="16" min="3" max="160" man="1"/>
    <brk id="20" min="3" max="160" man="1"/>
    <brk id="24" min="3" max="160" man="1"/>
    <brk id="28" min="3" max="160" man="1"/>
    <brk id="32" min="3" max="160" man="1"/>
    <brk id="36" min="3" max="160" man="1"/>
    <brk id="40" min="3" max="160" man="1"/>
    <brk id="44" min="3" max="160" man="1"/>
    <brk id="48" min="3" max="160" man="1"/>
    <brk id="52" min="3" max="160" man="1"/>
    <brk id="56" min="3" max="160" man="1"/>
    <brk id="60" min="3" max="160" man="1"/>
    <brk id="64" min="3" max="160" man="1"/>
    <brk id="68" min="3" max="160" man="1"/>
    <brk id="72" min="3" max="160" man="1"/>
    <brk id="77" min="3" max="1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156"/>
  <sheetViews>
    <sheetView view="pageBreakPreview" zoomScaleSheetLayoutView="100" workbookViewId="0" topLeftCell="G1">
      <pane xSplit="2" ySplit="20" topLeftCell="I59" activePane="bottomRight" state="frozen"/>
      <selection pane="topLeft" activeCell="G1" sqref="G1"/>
      <selection pane="topRight" activeCell="I1" sqref="I1"/>
      <selection pane="bottomLeft" activeCell="G21" sqref="G21"/>
      <selection pane="bottomRight" activeCell="BK1" sqref="BK1:BN16384"/>
    </sheetView>
  </sheetViews>
  <sheetFormatPr defaultColWidth="9.00390625" defaultRowHeight="12.75"/>
  <cols>
    <col min="1" max="1" width="5.625" style="251" customWidth="1"/>
    <col min="2" max="2" width="39.25390625" style="251" customWidth="1"/>
    <col min="3" max="4" width="9.625" style="251" customWidth="1"/>
    <col min="5" max="5" width="11.375" style="251" customWidth="1"/>
    <col min="6" max="6" width="9.625" style="251" customWidth="1"/>
    <col min="7" max="7" width="9.25390625" style="251" customWidth="1"/>
    <col min="8" max="8" width="46.375" style="251" customWidth="1"/>
    <col min="9" max="9" width="10.25390625" style="251" customWidth="1"/>
    <col min="10" max="10" width="10.375" style="251" customWidth="1"/>
    <col min="11" max="11" width="9.125" style="251" customWidth="1"/>
    <col min="12" max="12" width="52.125" style="251" customWidth="1"/>
    <col min="13" max="13" width="12.25390625" style="251" bestFit="1" customWidth="1"/>
    <col min="14" max="14" width="9.125" style="251" customWidth="1"/>
    <col min="15" max="18" width="14.875" style="251" hidden="1" customWidth="1"/>
    <col min="19" max="22" width="0" style="251" hidden="1" customWidth="1"/>
    <col min="23" max="23" width="9.125" style="251" customWidth="1"/>
    <col min="24" max="24" width="52.125" style="251" customWidth="1"/>
    <col min="25" max="25" width="12.25390625" style="251" bestFit="1" customWidth="1"/>
    <col min="26" max="27" width="9.125" style="251" customWidth="1"/>
    <col min="28" max="28" width="52.25390625" style="251" customWidth="1"/>
    <col min="29" max="29" width="12.25390625" style="251" bestFit="1" customWidth="1"/>
    <col min="30" max="30" width="10.00390625" style="251" customWidth="1"/>
    <col min="31" max="31" width="9.125" style="251" customWidth="1"/>
    <col min="32" max="32" width="52.875" style="251" customWidth="1"/>
    <col min="33" max="33" width="12.25390625" style="251" bestFit="1" customWidth="1"/>
    <col min="34" max="35" width="9.125" style="251" customWidth="1"/>
    <col min="36" max="36" width="52.125" style="251" customWidth="1"/>
    <col min="37" max="37" width="12.25390625" style="251" bestFit="1" customWidth="1"/>
    <col min="38" max="39" width="9.125" style="251" customWidth="1"/>
    <col min="40" max="40" width="53.00390625" style="251" customWidth="1"/>
    <col min="41" max="41" width="12.25390625" style="251" bestFit="1" customWidth="1"/>
    <col min="42" max="43" width="9.125" style="251" customWidth="1"/>
    <col min="44" max="44" width="52.625" style="251" customWidth="1"/>
    <col min="45" max="45" width="12.25390625" style="251" bestFit="1" customWidth="1"/>
    <col min="46" max="47" width="9.125" style="251" customWidth="1"/>
    <col min="48" max="48" width="53.00390625" style="251" customWidth="1"/>
    <col min="49" max="49" width="12.25390625" style="251" bestFit="1" customWidth="1"/>
    <col min="50" max="51" width="9.25390625" style="251" bestFit="1" customWidth="1"/>
    <col min="52" max="52" width="54.625" style="251" customWidth="1"/>
    <col min="53" max="53" width="12.25390625" style="251" bestFit="1" customWidth="1"/>
    <col min="54" max="54" width="10.875" style="251" customWidth="1"/>
    <col min="55" max="55" width="9.25390625" style="251" bestFit="1" customWidth="1"/>
    <col min="56" max="56" width="52.25390625" style="251" customWidth="1"/>
    <col min="57" max="57" width="12.25390625" style="251" bestFit="1" customWidth="1"/>
    <col min="58" max="59" width="9.125" style="251" customWidth="1"/>
    <col min="60" max="60" width="52.625" style="251" customWidth="1"/>
    <col min="61" max="61" width="12.25390625" style="251" bestFit="1" customWidth="1"/>
    <col min="62" max="62" width="9.125" style="251" customWidth="1"/>
    <col min="63" max="63" width="14.625" style="251" customWidth="1"/>
    <col min="64" max="64" width="50.75390625" style="251" customWidth="1"/>
    <col min="65" max="65" width="12.25390625" style="251" bestFit="1" customWidth="1"/>
    <col min="66" max="66" width="10.375" style="251" bestFit="1" customWidth="1"/>
    <col min="67" max="16384" width="9.125" style="251" customWidth="1"/>
  </cols>
  <sheetData>
    <row r="1" spans="7:15" s="252" customFormat="1" ht="12.75">
      <c r="G1" s="32"/>
      <c r="H1" s="32"/>
      <c r="I1" s="32"/>
      <c r="J1" s="32"/>
      <c r="K1" s="32"/>
      <c r="L1" s="32"/>
      <c r="M1" s="32"/>
      <c r="N1" s="32"/>
      <c r="O1" s="21" t="e">
        <f>#REF!-#REF!</f>
        <v>#REF!</v>
      </c>
    </row>
    <row r="2" s="252" customFormat="1" ht="12.75">
      <c r="O2" s="21" t="e">
        <f aca="true" t="shared" si="0" ref="O2:O65">O1-P1</f>
        <v>#REF!</v>
      </c>
    </row>
    <row r="3" s="252" customFormat="1" ht="12.75">
      <c r="O3" s="21" t="e">
        <f t="shared" si="0"/>
        <v>#REF!</v>
      </c>
    </row>
    <row r="4" s="252" customFormat="1" ht="12.75">
      <c r="O4" s="21" t="e">
        <f t="shared" si="0"/>
        <v>#REF!</v>
      </c>
    </row>
    <row r="5" s="252" customFormat="1" ht="12.75">
      <c r="O5" s="21" t="e">
        <f t="shared" si="0"/>
        <v>#REF!</v>
      </c>
    </row>
    <row r="6" spans="7:62" s="30" customFormat="1" ht="18.75">
      <c r="G6" s="746" t="s">
        <v>315</v>
      </c>
      <c r="H6" s="746"/>
      <c r="I6" s="746"/>
      <c r="J6" s="746"/>
      <c r="K6" s="761" t="str">
        <f>G6</f>
        <v>План текущего ремонта на  2014год</v>
      </c>
      <c r="L6" s="761"/>
      <c r="M6" s="761"/>
      <c r="N6" s="761"/>
      <c r="O6" s="21" t="e">
        <f t="shared" si="0"/>
        <v>#REF!</v>
      </c>
      <c r="W6" s="761" t="str">
        <f>G6</f>
        <v>План текущего ремонта на  2014год</v>
      </c>
      <c r="X6" s="761"/>
      <c r="Y6" s="761"/>
      <c r="Z6" s="761"/>
      <c r="AA6" s="761" t="str">
        <f>W6</f>
        <v>План текущего ремонта на  2014год</v>
      </c>
      <c r="AB6" s="761"/>
      <c r="AC6" s="761"/>
      <c r="AD6" s="761"/>
      <c r="AE6" s="761" t="str">
        <f>AA6</f>
        <v>План текущего ремонта на  2014год</v>
      </c>
      <c r="AF6" s="761"/>
      <c r="AG6" s="761"/>
      <c r="AH6" s="761"/>
      <c r="AI6" s="761" t="str">
        <f>AE6</f>
        <v>План текущего ремонта на  2014год</v>
      </c>
      <c r="AJ6" s="761"/>
      <c r="AK6" s="761"/>
      <c r="AL6" s="761"/>
      <c r="AM6" s="761" t="str">
        <f>AI6</f>
        <v>План текущего ремонта на  2014год</v>
      </c>
      <c r="AN6" s="761"/>
      <c r="AO6" s="761"/>
      <c r="AP6" s="761"/>
      <c r="AQ6" s="761" t="str">
        <f>AM6</f>
        <v>План текущего ремонта на  2014год</v>
      </c>
      <c r="AR6" s="761"/>
      <c r="AS6" s="761"/>
      <c r="AT6" s="761"/>
      <c r="AU6" s="761" t="str">
        <f>AQ6</f>
        <v>План текущего ремонта на  2014год</v>
      </c>
      <c r="AV6" s="761"/>
      <c r="AW6" s="761"/>
      <c r="AX6" s="761"/>
      <c r="AY6" s="761" t="str">
        <f>AU6</f>
        <v>План текущего ремонта на  2014год</v>
      </c>
      <c r="AZ6" s="761"/>
      <c r="BA6" s="761"/>
      <c r="BB6" s="761"/>
      <c r="BC6" s="761" t="str">
        <f>AY6</f>
        <v>План текущего ремонта на  2014год</v>
      </c>
      <c r="BD6" s="761"/>
      <c r="BE6" s="761"/>
      <c r="BF6" s="761"/>
      <c r="BG6" s="761" t="str">
        <f>BC6</f>
        <v>План текущего ремонта на  2014год</v>
      </c>
      <c r="BH6" s="761"/>
      <c r="BI6" s="761"/>
      <c r="BJ6" s="761"/>
    </row>
    <row r="7" spans="7:61" s="30" customFormat="1" ht="15.75">
      <c r="G7" s="761" t="s">
        <v>146</v>
      </c>
      <c r="H7" s="761"/>
      <c r="I7" s="761"/>
      <c r="J7" s="761"/>
      <c r="L7" s="30" t="s">
        <v>1</v>
      </c>
      <c r="M7" s="30" t="s">
        <v>91</v>
      </c>
      <c r="O7" s="21" t="e">
        <f t="shared" si="0"/>
        <v>#REF!</v>
      </c>
      <c r="X7" s="30" t="s">
        <v>1</v>
      </c>
      <c r="Y7" s="30" t="s">
        <v>92</v>
      </c>
      <c r="AB7" s="30" t="s">
        <v>1</v>
      </c>
      <c r="AC7" s="30" t="s">
        <v>93</v>
      </c>
      <c r="AF7" s="30" t="s">
        <v>1</v>
      </c>
      <c r="AG7" s="30" t="s">
        <v>94</v>
      </c>
      <c r="AJ7" s="30" t="s">
        <v>1</v>
      </c>
      <c r="AK7" s="30" t="s">
        <v>95</v>
      </c>
      <c r="AN7" s="30" t="s">
        <v>1</v>
      </c>
      <c r="AO7" s="30" t="s">
        <v>96</v>
      </c>
      <c r="AR7" s="30" t="s">
        <v>1</v>
      </c>
      <c r="AS7" s="30" t="s">
        <v>97</v>
      </c>
      <c r="AV7" s="30" t="s">
        <v>1</v>
      </c>
      <c r="AW7" s="30" t="s">
        <v>98</v>
      </c>
      <c r="AZ7" s="30" t="s">
        <v>1</v>
      </c>
      <c r="BA7" s="30" t="s">
        <v>99</v>
      </c>
      <c r="BD7" s="30" t="s">
        <v>1</v>
      </c>
      <c r="BE7" s="30" t="s">
        <v>100</v>
      </c>
      <c r="BH7" s="30" t="s">
        <v>1</v>
      </c>
      <c r="BI7" s="30" t="s">
        <v>101</v>
      </c>
    </row>
    <row r="8" spans="7:62" s="252" customFormat="1" ht="12.75">
      <c r="G8" s="701"/>
      <c r="H8" s="701"/>
      <c r="I8" s="701"/>
      <c r="J8" s="701"/>
      <c r="K8" s="251"/>
      <c r="L8" s="251" t="s">
        <v>5</v>
      </c>
      <c r="M8" s="251">
        <v>9</v>
      </c>
      <c r="N8" s="251" t="s">
        <v>320</v>
      </c>
      <c r="O8" s="21" t="e">
        <f t="shared" si="0"/>
        <v>#REF!</v>
      </c>
      <c r="X8" s="252" t="s">
        <v>5</v>
      </c>
      <c r="Y8" s="252">
        <v>5</v>
      </c>
      <c r="Z8" s="252" t="s">
        <v>320</v>
      </c>
      <c r="AB8" s="252" t="s">
        <v>5</v>
      </c>
      <c r="AC8" s="252">
        <v>5</v>
      </c>
      <c r="AD8" s="252" t="s">
        <v>321</v>
      </c>
      <c r="AF8" s="252" t="s">
        <v>5</v>
      </c>
      <c r="AG8" s="252">
        <v>5</v>
      </c>
      <c r="AH8" s="252" t="s">
        <v>320</v>
      </c>
      <c r="AJ8" s="252" t="s">
        <v>5</v>
      </c>
      <c r="AK8" s="252">
        <v>5</v>
      </c>
      <c r="AL8" s="252" t="s">
        <v>320</v>
      </c>
      <c r="AN8" s="252" t="s">
        <v>5</v>
      </c>
      <c r="AO8" s="252">
        <v>9</v>
      </c>
      <c r="AP8" s="252" t="s">
        <v>320</v>
      </c>
      <c r="AR8" s="252" t="s">
        <v>5</v>
      </c>
      <c r="AS8" s="252">
        <v>9</v>
      </c>
      <c r="AT8" s="252" t="s">
        <v>321</v>
      </c>
      <c r="AV8" s="252" t="s">
        <v>5</v>
      </c>
      <c r="AW8" s="252">
        <v>9</v>
      </c>
      <c r="AX8" s="252" t="s">
        <v>320</v>
      </c>
      <c r="AZ8" s="252" t="s">
        <v>5</v>
      </c>
      <c r="BA8" s="252">
        <v>5</v>
      </c>
      <c r="BB8" s="252" t="s">
        <v>321</v>
      </c>
      <c r="BD8" s="252" t="s">
        <v>5</v>
      </c>
      <c r="BE8" s="252">
        <v>5</v>
      </c>
      <c r="BF8" s="252" t="s">
        <v>321</v>
      </c>
      <c r="BH8" s="252" t="s">
        <v>5</v>
      </c>
      <c r="BI8" s="252">
        <v>5</v>
      </c>
      <c r="BJ8" s="252" t="s">
        <v>320</v>
      </c>
    </row>
    <row r="9" spans="7:61" s="252" customFormat="1" ht="15">
      <c r="G9" s="702"/>
      <c r="H9" s="325" t="s">
        <v>2</v>
      </c>
      <c r="I9" s="62">
        <f>M9+Y9+AC9+AG9+AK9+AO9+AS9+AW9+BA9+BE9+BI9</f>
        <v>211</v>
      </c>
      <c r="J9" s="729">
        <f>J65+J72</f>
        <v>211</v>
      </c>
      <c r="K9" s="251"/>
      <c r="L9" s="251" t="s">
        <v>2</v>
      </c>
      <c r="M9" s="251">
        <v>8</v>
      </c>
      <c r="N9" s="251"/>
      <c r="O9" s="21" t="e">
        <f t="shared" si="0"/>
        <v>#REF!</v>
      </c>
      <c r="X9" s="252" t="s">
        <v>2</v>
      </c>
      <c r="Y9" s="252">
        <v>27</v>
      </c>
      <c r="AB9" s="252" t="s">
        <v>2</v>
      </c>
      <c r="AC9" s="252">
        <v>17</v>
      </c>
      <c r="AF9" s="252" t="s">
        <v>2</v>
      </c>
      <c r="AG9" s="252">
        <v>28</v>
      </c>
      <c r="AJ9" s="252" t="s">
        <v>2</v>
      </c>
      <c r="AK9" s="252">
        <v>18</v>
      </c>
      <c r="AN9" s="252" t="s">
        <v>2</v>
      </c>
      <c r="AO9" s="252">
        <v>5</v>
      </c>
      <c r="AR9" s="252" t="s">
        <v>2</v>
      </c>
      <c r="AS9" s="252">
        <v>3</v>
      </c>
      <c r="AV9" s="252" t="s">
        <v>2</v>
      </c>
      <c r="AW9" s="252">
        <v>8</v>
      </c>
      <c r="AZ9" s="252" t="s">
        <v>2</v>
      </c>
      <c r="BA9" s="252">
        <v>38</v>
      </c>
      <c r="BD9" s="252" t="s">
        <v>2</v>
      </c>
      <c r="BE9" s="252">
        <v>21</v>
      </c>
      <c r="BH9" s="252" t="s">
        <v>2</v>
      </c>
      <c r="BI9" s="252">
        <v>38</v>
      </c>
    </row>
    <row r="10" spans="7:60" s="252" customFormat="1" ht="12.75" hidden="1">
      <c r="G10" s="702"/>
      <c r="H10" s="702" t="s">
        <v>3</v>
      </c>
      <c r="I10" s="702"/>
      <c r="J10" s="702"/>
      <c r="L10" s="252" t="s">
        <v>3</v>
      </c>
      <c r="O10" s="21" t="e">
        <f t="shared" si="0"/>
        <v>#REF!</v>
      </c>
      <c r="X10" s="252" t="s">
        <v>3</v>
      </c>
      <c r="AB10" s="252" t="s">
        <v>3</v>
      </c>
      <c r="AF10" s="252" t="s">
        <v>3</v>
      </c>
      <c r="AJ10" s="252" t="s">
        <v>3</v>
      </c>
      <c r="AN10" s="252" t="s">
        <v>3</v>
      </c>
      <c r="AR10" s="252" t="s">
        <v>3</v>
      </c>
      <c r="AV10" s="252" t="s">
        <v>3</v>
      </c>
      <c r="AZ10" s="252" t="s">
        <v>3</v>
      </c>
      <c r="BD10" s="252" t="s">
        <v>3</v>
      </c>
      <c r="BH10" s="252" t="s">
        <v>3</v>
      </c>
    </row>
    <row r="11" spans="7:60" s="252" customFormat="1" ht="12.75" hidden="1">
      <c r="G11" s="702"/>
      <c r="H11" s="702" t="s">
        <v>4</v>
      </c>
      <c r="I11" s="702"/>
      <c r="J11" s="702"/>
      <c r="L11" s="252" t="s">
        <v>4</v>
      </c>
      <c r="O11" s="21" t="e">
        <f t="shared" si="0"/>
        <v>#REF!</v>
      </c>
      <c r="X11" s="252" t="s">
        <v>4</v>
      </c>
      <c r="AB11" s="252" t="s">
        <v>4</v>
      </c>
      <c r="AF11" s="252" t="s">
        <v>4</v>
      </c>
      <c r="AJ11" s="252" t="s">
        <v>4</v>
      </c>
      <c r="AN11" s="252" t="s">
        <v>4</v>
      </c>
      <c r="AR11" s="252" t="s">
        <v>4</v>
      </c>
      <c r="AV11" s="252" t="s">
        <v>4</v>
      </c>
      <c r="AZ11" s="252" t="s">
        <v>4</v>
      </c>
      <c r="BD11" s="252" t="s">
        <v>4</v>
      </c>
      <c r="BH11" s="252" t="s">
        <v>4</v>
      </c>
    </row>
    <row r="12" spans="7:15" s="252" customFormat="1" ht="12.75" customHeight="1">
      <c r="G12" s="702"/>
      <c r="H12" s="702"/>
      <c r="I12" s="702"/>
      <c r="J12" s="702"/>
      <c r="O12" s="21" t="e">
        <f t="shared" si="0"/>
        <v>#REF!</v>
      </c>
    </row>
    <row r="13" spans="7:15" s="252" customFormat="1" ht="15" customHeight="1" hidden="1">
      <c r="G13" s="702"/>
      <c r="H13" s="703" t="s">
        <v>306</v>
      </c>
      <c r="I13" s="703"/>
      <c r="J13" s="703"/>
      <c r="K13" s="251"/>
      <c r="L13" s="703" t="s">
        <v>306</v>
      </c>
      <c r="M13" s="703"/>
      <c r="N13" s="703"/>
      <c r="O13" s="21" t="e">
        <f>#REF!-#REF!</f>
        <v>#REF!</v>
      </c>
    </row>
    <row r="14" spans="7:62" ht="57" customHeight="1" hidden="1">
      <c r="G14" s="702"/>
      <c r="H14" s="704"/>
      <c r="I14" s="705" t="s">
        <v>303</v>
      </c>
      <c r="J14" s="705" t="s">
        <v>304</v>
      </c>
      <c r="L14" s="704"/>
      <c r="M14" s="706" t="s">
        <v>303</v>
      </c>
      <c r="N14" s="706" t="s">
        <v>304</v>
      </c>
      <c r="O14" s="21" t="e">
        <f t="shared" si="0"/>
        <v>#REF!</v>
      </c>
      <c r="P14" s="252"/>
      <c r="Q14" s="252"/>
      <c r="R14" s="252"/>
      <c r="S14" s="252"/>
      <c r="T14" s="252"/>
      <c r="U14" s="252"/>
      <c r="V14" s="252"/>
      <c r="W14" s="252"/>
      <c r="X14" s="703" t="s">
        <v>306</v>
      </c>
      <c r="Y14" s="703"/>
      <c r="Z14" s="703"/>
      <c r="AB14" s="703" t="s">
        <v>306</v>
      </c>
      <c r="AC14" s="703"/>
      <c r="AD14" s="703"/>
      <c r="AF14" s="703" t="s">
        <v>306</v>
      </c>
      <c r="AG14" s="703"/>
      <c r="AH14" s="703"/>
      <c r="AJ14" s="703" t="s">
        <v>306</v>
      </c>
      <c r="AK14" s="703"/>
      <c r="AL14" s="703"/>
      <c r="AN14" s="703" t="s">
        <v>306</v>
      </c>
      <c r="AO14" s="703"/>
      <c r="AP14" s="703"/>
      <c r="AR14" s="703" t="s">
        <v>306</v>
      </c>
      <c r="AS14" s="703"/>
      <c r="AT14" s="703"/>
      <c r="AV14" s="703" t="s">
        <v>306</v>
      </c>
      <c r="AW14" s="703"/>
      <c r="AX14" s="703"/>
      <c r="AZ14" s="703" t="s">
        <v>306</v>
      </c>
      <c r="BA14" s="703"/>
      <c r="BB14" s="703"/>
      <c r="BD14" s="703" t="s">
        <v>306</v>
      </c>
      <c r="BE14" s="703"/>
      <c r="BF14" s="703"/>
      <c r="BH14" s="703" t="s">
        <v>306</v>
      </c>
      <c r="BI14" s="703"/>
      <c r="BJ14" s="703"/>
    </row>
    <row r="15" spans="7:62" ht="27" customHeight="1" hidden="1">
      <c r="G15" s="701"/>
      <c r="H15" s="707" t="s">
        <v>305</v>
      </c>
      <c r="I15" s="709">
        <v>35257583.44</v>
      </c>
      <c r="J15" s="709">
        <v>34332423.599999994</v>
      </c>
      <c r="K15" s="252"/>
      <c r="L15" s="710" t="s">
        <v>305</v>
      </c>
      <c r="M15" s="711">
        <v>2615806.25</v>
      </c>
      <c r="N15" s="711">
        <v>2532168.8300000005</v>
      </c>
      <c r="O15" s="21" t="e">
        <f t="shared" si="0"/>
        <v>#REF!</v>
      </c>
      <c r="P15" s="252"/>
      <c r="Q15" s="252"/>
      <c r="R15" s="252"/>
      <c r="S15" s="252"/>
      <c r="T15" s="252"/>
      <c r="U15" s="252"/>
      <c r="V15" s="252"/>
      <c r="W15" s="252"/>
      <c r="X15" s="704"/>
      <c r="Y15" s="712" t="s">
        <v>303</v>
      </c>
      <c r="Z15" s="712" t="s">
        <v>304</v>
      </c>
      <c r="AB15" s="704"/>
      <c r="AC15" s="712" t="s">
        <v>303</v>
      </c>
      <c r="AD15" s="712" t="s">
        <v>304</v>
      </c>
      <c r="AF15" s="704"/>
      <c r="AG15" s="712" t="s">
        <v>303</v>
      </c>
      <c r="AH15" s="712" t="s">
        <v>304</v>
      </c>
      <c r="AJ15" s="704"/>
      <c r="AK15" s="712" t="s">
        <v>303</v>
      </c>
      <c r="AL15" s="712" t="s">
        <v>304</v>
      </c>
      <c r="AN15" s="704"/>
      <c r="AO15" s="712" t="s">
        <v>303</v>
      </c>
      <c r="AP15" s="712" t="s">
        <v>304</v>
      </c>
      <c r="AR15" s="704"/>
      <c r="AS15" s="712" t="s">
        <v>303</v>
      </c>
      <c r="AT15" s="712" t="s">
        <v>304</v>
      </c>
      <c r="AV15" s="704"/>
      <c r="AW15" s="712" t="s">
        <v>303</v>
      </c>
      <c r="AX15" s="712" t="s">
        <v>304</v>
      </c>
      <c r="AZ15" s="704"/>
      <c r="BA15" s="712" t="s">
        <v>303</v>
      </c>
      <c r="BB15" s="712" t="s">
        <v>304</v>
      </c>
      <c r="BD15" s="704"/>
      <c r="BE15" s="712" t="s">
        <v>303</v>
      </c>
      <c r="BF15" s="712" t="s">
        <v>304</v>
      </c>
      <c r="BH15" s="704"/>
      <c r="BI15" s="712" t="s">
        <v>303</v>
      </c>
      <c r="BJ15" s="712" t="s">
        <v>304</v>
      </c>
    </row>
    <row r="16" spans="7:62" s="252" customFormat="1" ht="12.75" customHeight="1" hidden="1">
      <c r="G16" s="701"/>
      <c r="H16" s="707" t="s">
        <v>309</v>
      </c>
      <c r="I16" s="709">
        <v>10566646.409999998</v>
      </c>
      <c r="J16" s="709">
        <v>10351407.610000001</v>
      </c>
      <c r="L16" s="710" t="s">
        <v>309</v>
      </c>
      <c r="M16" s="711">
        <v>834252.2300000001</v>
      </c>
      <c r="N16" s="711">
        <v>805579.1200000001</v>
      </c>
      <c r="O16" s="21" t="e">
        <f t="shared" si="0"/>
        <v>#REF!</v>
      </c>
      <c r="X16" s="710" t="s">
        <v>305</v>
      </c>
      <c r="Y16" s="711">
        <v>3711158.2600000002</v>
      </c>
      <c r="Z16" s="711">
        <v>3618268.7399999998</v>
      </c>
      <c r="AA16" s="251"/>
      <c r="AB16" s="713" t="s">
        <v>305</v>
      </c>
      <c r="AC16" s="714">
        <v>2341614.4300000006</v>
      </c>
      <c r="AD16" s="714">
        <v>2317379.28</v>
      </c>
      <c r="AF16" s="710" t="s">
        <v>305</v>
      </c>
      <c r="AG16" s="711">
        <v>4039514.18</v>
      </c>
      <c r="AH16" s="711">
        <v>4021965.4099999997</v>
      </c>
      <c r="AI16" s="251"/>
      <c r="AJ16" s="713" t="s">
        <v>305</v>
      </c>
      <c r="AK16" s="714">
        <v>2417889.13</v>
      </c>
      <c r="AL16" s="714">
        <v>2458292.94</v>
      </c>
      <c r="AN16" s="710" t="s">
        <v>305</v>
      </c>
      <c r="AO16" s="711">
        <v>1885839.8500000003</v>
      </c>
      <c r="AP16" s="711">
        <v>1918550.9800000002</v>
      </c>
      <c r="AQ16" s="251"/>
      <c r="AR16" s="713" t="s">
        <v>305</v>
      </c>
      <c r="AS16" s="714">
        <v>1136080.43</v>
      </c>
      <c r="AT16" s="714">
        <v>1076187.48</v>
      </c>
      <c r="AV16" s="710" t="s">
        <v>305</v>
      </c>
      <c r="AW16" s="711">
        <v>3016885.5000000005</v>
      </c>
      <c r="AX16" s="711">
        <v>2995276.17</v>
      </c>
      <c r="AY16" s="251"/>
      <c r="AZ16" s="713" t="s">
        <v>305</v>
      </c>
      <c r="BA16" s="714">
        <v>5265258.899999999</v>
      </c>
      <c r="BB16" s="714">
        <v>5239804.189999999</v>
      </c>
      <c r="BD16" s="710" t="s">
        <v>305</v>
      </c>
      <c r="BE16" s="711">
        <v>3091665.6399999997</v>
      </c>
      <c r="BF16" s="711">
        <v>2814466.18</v>
      </c>
      <c r="BG16" s="251"/>
      <c r="BH16" s="713" t="s">
        <v>305</v>
      </c>
      <c r="BI16" s="714">
        <v>5735870.870000001</v>
      </c>
      <c r="BJ16" s="714">
        <v>5340063.399999999</v>
      </c>
    </row>
    <row r="17" spans="7:62" s="252" customFormat="1" ht="12.75" customHeight="1" hidden="1">
      <c r="G17" s="702"/>
      <c r="H17" s="702"/>
      <c r="I17" s="702"/>
      <c r="J17" s="702"/>
      <c r="O17" s="21" t="e">
        <f t="shared" si="0"/>
        <v>#REF!</v>
      </c>
      <c r="X17" s="710" t="s">
        <v>309</v>
      </c>
      <c r="Y17" s="711">
        <v>1096371.48</v>
      </c>
      <c r="Z17" s="711">
        <v>1074634.93</v>
      </c>
      <c r="AA17" s="251"/>
      <c r="AB17" s="713" t="s">
        <v>309</v>
      </c>
      <c r="AC17" s="714">
        <v>711993.6699999999</v>
      </c>
      <c r="AD17" s="714">
        <v>706520.4600000001</v>
      </c>
      <c r="AF17" s="710" t="s">
        <v>309</v>
      </c>
      <c r="AG17" s="711">
        <v>1157544.22</v>
      </c>
      <c r="AH17" s="711">
        <v>1165026.1900000002</v>
      </c>
      <c r="AI17" s="251"/>
      <c r="AJ17" s="713" t="s">
        <v>309</v>
      </c>
      <c r="AK17" s="714">
        <v>758702.19</v>
      </c>
      <c r="AL17" s="714">
        <v>763986.46</v>
      </c>
      <c r="AN17" s="710" t="s">
        <v>309</v>
      </c>
      <c r="AO17" s="711">
        <v>618784.0299999999</v>
      </c>
      <c r="AP17" s="711">
        <v>630248.0900000001</v>
      </c>
      <c r="AQ17" s="251"/>
      <c r="AR17" s="713" t="s">
        <v>309</v>
      </c>
      <c r="AS17" s="714">
        <v>379561.38</v>
      </c>
      <c r="AT17" s="714">
        <v>364634.36000000004</v>
      </c>
      <c r="AV17" s="710" t="s">
        <v>309</v>
      </c>
      <c r="AW17" s="711">
        <v>990588.6499999999</v>
      </c>
      <c r="AX17" s="711">
        <v>975769.77</v>
      </c>
      <c r="AY17" s="251"/>
      <c r="AZ17" s="713" t="s">
        <v>309</v>
      </c>
      <c r="BA17" s="714">
        <v>1589044.19</v>
      </c>
      <c r="BB17" s="714">
        <v>1582184.38</v>
      </c>
      <c r="BD17" s="710" t="s">
        <v>309</v>
      </c>
      <c r="BE17" s="711">
        <v>869374.86</v>
      </c>
      <c r="BF17" s="711">
        <v>810023.11</v>
      </c>
      <c r="BG17" s="251"/>
      <c r="BH17" s="713" t="s">
        <v>309</v>
      </c>
      <c r="BI17" s="714">
        <v>1560429.51</v>
      </c>
      <c r="BJ17" s="714">
        <v>1472800.74</v>
      </c>
    </row>
    <row r="18" spans="7:71" s="252" customFormat="1" ht="28.5" customHeight="1">
      <c r="G18" s="750" t="s">
        <v>6</v>
      </c>
      <c r="H18" s="753" t="s">
        <v>0</v>
      </c>
      <c r="I18" s="753" t="s">
        <v>76</v>
      </c>
      <c r="J18" s="36" t="s">
        <v>314</v>
      </c>
      <c r="K18" s="750" t="s">
        <v>6</v>
      </c>
      <c r="L18" s="753" t="s">
        <v>0</v>
      </c>
      <c r="M18" s="753" t="s">
        <v>76</v>
      </c>
      <c r="N18" s="36" t="str">
        <f>J18</f>
        <v>План на 2014 год</v>
      </c>
      <c r="O18" s="21" t="e">
        <f>#REF!-#REF!</f>
        <v>#REF!</v>
      </c>
      <c r="W18" s="750" t="s">
        <v>6</v>
      </c>
      <c r="X18" s="753" t="s">
        <v>0</v>
      </c>
      <c r="Y18" s="753" t="s">
        <v>76</v>
      </c>
      <c r="Z18" s="210" t="str">
        <f>$J$18</f>
        <v>План на 2014 год</v>
      </c>
      <c r="AA18" s="750" t="s">
        <v>6</v>
      </c>
      <c r="AB18" s="753" t="s">
        <v>0</v>
      </c>
      <c r="AC18" s="753" t="s">
        <v>76</v>
      </c>
      <c r="AD18" s="36" t="str">
        <f>$J$18</f>
        <v>План на 2014 год</v>
      </c>
      <c r="AE18" s="750" t="s">
        <v>6</v>
      </c>
      <c r="AF18" s="753" t="s">
        <v>0</v>
      </c>
      <c r="AG18" s="753" t="s">
        <v>76</v>
      </c>
      <c r="AH18" s="36" t="str">
        <f>$J$18</f>
        <v>План на 2014 год</v>
      </c>
      <c r="AI18" s="750" t="s">
        <v>6</v>
      </c>
      <c r="AJ18" s="753" t="s">
        <v>0</v>
      </c>
      <c r="AK18" s="753" t="s">
        <v>76</v>
      </c>
      <c r="AL18" s="36" t="str">
        <f>$J$18</f>
        <v>План на 2014 год</v>
      </c>
      <c r="AM18" s="750" t="s">
        <v>6</v>
      </c>
      <c r="AN18" s="753" t="s">
        <v>0</v>
      </c>
      <c r="AO18" s="753" t="s">
        <v>76</v>
      </c>
      <c r="AP18" s="36" t="str">
        <f>$J$18</f>
        <v>План на 2014 год</v>
      </c>
      <c r="AQ18" s="750" t="s">
        <v>6</v>
      </c>
      <c r="AR18" s="753" t="s">
        <v>0</v>
      </c>
      <c r="AS18" s="753" t="s">
        <v>76</v>
      </c>
      <c r="AT18" s="36" t="str">
        <f>$J$18</f>
        <v>План на 2014 год</v>
      </c>
      <c r="AU18" s="750" t="s">
        <v>6</v>
      </c>
      <c r="AV18" s="753" t="s">
        <v>0</v>
      </c>
      <c r="AW18" s="753" t="s">
        <v>76</v>
      </c>
      <c r="AX18" s="36" t="str">
        <f>$J$18</f>
        <v>План на 2014 год</v>
      </c>
      <c r="AY18" s="750" t="s">
        <v>6</v>
      </c>
      <c r="AZ18" s="753" t="s">
        <v>0</v>
      </c>
      <c r="BA18" s="753" t="s">
        <v>76</v>
      </c>
      <c r="BB18" s="36" t="str">
        <f>$J$18</f>
        <v>План на 2014 год</v>
      </c>
      <c r="BC18" s="750" t="s">
        <v>6</v>
      </c>
      <c r="BD18" s="753" t="s">
        <v>0</v>
      </c>
      <c r="BE18" s="753" t="s">
        <v>76</v>
      </c>
      <c r="BF18" s="36" t="str">
        <f>$J$18</f>
        <v>План на 2014 год</v>
      </c>
      <c r="BG18" s="750" t="s">
        <v>6</v>
      </c>
      <c r="BH18" s="753" t="s">
        <v>0</v>
      </c>
      <c r="BI18" s="753" t="s">
        <v>76</v>
      </c>
      <c r="BJ18" s="36" t="str">
        <f>$J$18</f>
        <v>План на 2014 год</v>
      </c>
      <c r="BR18" s="715"/>
      <c r="BS18" s="715"/>
    </row>
    <row r="19" spans="1:85" ht="15" customHeight="1">
      <c r="A19" s="252"/>
      <c r="B19" s="252"/>
      <c r="C19" s="252"/>
      <c r="D19" s="252"/>
      <c r="E19" s="252"/>
      <c r="F19" s="252"/>
      <c r="G19" s="751"/>
      <c r="H19" s="753"/>
      <c r="I19" s="753"/>
      <c r="J19" s="754" t="s">
        <v>7</v>
      </c>
      <c r="K19" s="751"/>
      <c r="L19" s="753"/>
      <c r="M19" s="753"/>
      <c r="N19" s="754" t="s">
        <v>7</v>
      </c>
      <c r="O19" s="21" t="e">
        <f t="shared" si="0"/>
        <v>#REF!</v>
      </c>
      <c r="P19" s="252"/>
      <c r="Q19" s="252"/>
      <c r="R19" s="252"/>
      <c r="S19" s="252"/>
      <c r="T19" s="252"/>
      <c r="U19" s="252"/>
      <c r="V19" s="252"/>
      <c r="W19" s="751"/>
      <c r="X19" s="753"/>
      <c r="Y19" s="753"/>
      <c r="Z19" s="754" t="s">
        <v>7</v>
      </c>
      <c r="AA19" s="751"/>
      <c r="AB19" s="753"/>
      <c r="AC19" s="753"/>
      <c r="AD19" s="754" t="s">
        <v>7</v>
      </c>
      <c r="AE19" s="751"/>
      <c r="AF19" s="753"/>
      <c r="AG19" s="753"/>
      <c r="AH19" s="754" t="s">
        <v>7</v>
      </c>
      <c r="AI19" s="751"/>
      <c r="AJ19" s="753"/>
      <c r="AK19" s="753"/>
      <c r="AL19" s="754" t="s">
        <v>7</v>
      </c>
      <c r="AM19" s="751"/>
      <c r="AN19" s="753"/>
      <c r="AO19" s="753"/>
      <c r="AP19" s="754" t="s">
        <v>7</v>
      </c>
      <c r="AQ19" s="751"/>
      <c r="AR19" s="753"/>
      <c r="AS19" s="753"/>
      <c r="AT19" s="754" t="s">
        <v>7</v>
      </c>
      <c r="AU19" s="751"/>
      <c r="AV19" s="753"/>
      <c r="AW19" s="753"/>
      <c r="AX19" s="754" t="s">
        <v>7</v>
      </c>
      <c r="AY19" s="751"/>
      <c r="AZ19" s="753"/>
      <c r="BA19" s="753"/>
      <c r="BB19" s="754" t="s">
        <v>7</v>
      </c>
      <c r="BC19" s="751"/>
      <c r="BD19" s="753"/>
      <c r="BE19" s="753"/>
      <c r="BF19" s="754" t="s">
        <v>7</v>
      </c>
      <c r="BG19" s="751"/>
      <c r="BH19" s="753"/>
      <c r="BI19" s="753"/>
      <c r="BJ19" s="754" t="s">
        <v>7</v>
      </c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9"/>
    </row>
    <row r="20" spans="1:62" s="252" customFormat="1" ht="12.75" customHeight="1">
      <c r="A20" s="251"/>
      <c r="B20" s="251"/>
      <c r="C20" s="251"/>
      <c r="D20" s="251"/>
      <c r="E20" s="251"/>
      <c r="F20" s="251"/>
      <c r="G20" s="752"/>
      <c r="H20" s="753"/>
      <c r="I20" s="753"/>
      <c r="J20" s="754"/>
      <c r="K20" s="752"/>
      <c r="L20" s="753"/>
      <c r="M20" s="753"/>
      <c r="N20" s="754"/>
      <c r="O20" s="21" t="e">
        <f t="shared" si="0"/>
        <v>#REF!</v>
      </c>
      <c r="W20" s="752"/>
      <c r="X20" s="753"/>
      <c r="Y20" s="753"/>
      <c r="Z20" s="754"/>
      <c r="AA20" s="752"/>
      <c r="AB20" s="753"/>
      <c r="AC20" s="753"/>
      <c r="AD20" s="754"/>
      <c r="AE20" s="752"/>
      <c r="AF20" s="753"/>
      <c r="AG20" s="753"/>
      <c r="AH20" s="754"/>
      <c r="AI20" s="752"/>
      <c r="AJ20" s="753"/>
      <c r="AK20" s="753"/>
      <c r="AL20" s="754"/>
      <c r="AM20" s="752"/>
      <c r="AN20" s="753"/>
      <c r="AO20" s="753"/>
      <c r="AP20" s="754"/>
      <c r="AQ20" s="752"/>
      <c r="AR20" s="753"/>
      <c r="AS20" s="753"/>
      <c r="AT20" s="754"/>
      <c r="AU20" s="752"/>
      <c r="AV20" s="753"/>
      <c r="AW20" s="753"/>
      <c r="AX20" s="754"/>
      <c r="AY20" s="752"/>
      <c r="AZ20" s="753"/>
      <c r="BA20" s="753"/>
      <c r="BB20" s="754"/>
      <c r="BC20" s="752"/>
      <c r="BD20" s="753"/>
      <c r="BE20" s="753"/>
      <c r="BF20" s="754"/>
      <c r="BG20" s="752"/>
      <c r="BH20" s="753"/>
      <c r="BI20" s="753"/>
      <c r="BJ20" s="754"/>
    </row>
    <row r="21" spans="1:62" ht="12.75">
      <c r="A21" s="252"/>
      <c r="B21" s="252"/>
      <c r="C21" s="252"/>
      <c r="D21" s="252"/>
      <c r="E21" s="252"/>
      <c r="F21" s="252"/>
      <c r="G21" s="20"/>
      <c r="H21" s="74" t="s">
        <v>9</v>
      </c>
      <c r="I21" s="2" t="s">
        <v>11</v>
      </c>
      <c r="J21" s="326">
        <f>N21+Z21+AD21+AH21+AL21+AP21+AT21+AX21+BB21+BF21+BJ21</f>
        <v>11</v>
      </c>
      <c r="K21" s="20"/>
      <c r="L21" s="3" t="s">
        <v>9</v>
      </c>
      <c r="M21" s="2" t="s">
        <v>11</v>
      </c>
      <c r="N21" s="4">
        <v>1</v>
      </c>
      <c r="O21" s="21" t="e">
        <f t="shared" si="0"/>
        <v>#REF!</v>
      </c>
      <c r="P21" s="252"/>
      <c r="Q21" s="252"/>
      <c r="R21" s="252"/>
      <c r="S21" s="252"/>
      <c r="T21" s="252"/>
      <c r="U21" s="252"/>
      <c r="V21" s="252"/>
      <c r="W21" s="20"/>
      <c r="X21" s="3" t="s">
        <v>9</v>
      </c>
      <c r="Y21" s="2" t="s">
        <v>11</v>
      </c>
      <c r="Z21" s="4">
        <v>1</v>
      </c>
      <c r="AA21" s="20"/>
      <c r="AB21" s="3" t="s">
        <v>9</v>
      </c>
      <c r="AC21" s="2" t="s">
        <v>11</v>
      </c>
      <c r="AD21" s="4">
        <v>1</v>
      </c>
      <c r="AE21" s="20"/>
      <c r="AF21" s="3" t="s">
        <v>9</v>
      </c>
      <c r="AG21" s="2" t="s">
        <v>11</v>
      </c>
      <c r="AH21" s="4">
        <v>1</v>
      </c>
      <c r="AI21" s="20"/>
      <c r="AJ21" s="3" t="s">
        <v>9</v>
      </c>
      <c r="AK21" s="2" t="s">
        <v>11</v>
      </c>
      <c r="AL21" s="4">
        <v>1</v>
      </c>
      <c r="AM21" s="20"/>
      <c r="AN21" s="3" t="s">
        <v>9</v>
      </c>
      <c r="AO21" s="2" t="s">
        <v>11</v>
      </c>
      <c r="AP21" s="4">
        <v>1</v>
      </c>
      <c r="AQ21" s="20"/>
      <c r="AR21" s="3" t="s">
        <v>9</v>
      </c>
      <c r="AS21" s="2" t="s">
        <v>11</v>
      </c>
      <c r="AT21" s="4">
        <v>1</v>
      </c>
      <c r="AU21" s="20"/>
      <c r="AV21" s="3" t="s">
        <v>9</v>
      </c>
      <c r="AW21" s="2" t="s">
        <v>11</v>
      </c>
      <c r="AX21" s="4">
        <v>1</v>
      </c>
      <c r="AY21" s="20"/>
      <c r="AZ21" s="3" t="s">
        <v>9</v>
      </c>
      <c r="BA21" s="2" t="s">
        <v>11</v>
      </c>
      <c r="BB21" s="4">
        <v>1</v>
      </c>
      <c r="BC21" s="20"/>
      <c r="BD21" s="3" t="s">
        <v>9</v>
      </c>
      <c r="BE21" s="2" t="s">
        <v>11</v>
      </c>
      <c r="BF21" s="4">
        <v>1</v>
      </c>
      <c r="BG21" s="20"/>
      <c r="BH21" s="3" t="s">
        <v>9</v>
      </c>
      <c r="BI21" s="2" t="s">
        <v>11</v>
      </c>
      <c r="BJ21" s="4">
        <v>1</v>
      </c>
    </row>
    <row r="22" spans="7:62" ht="12.75">
      <c r="G22" s="20"/>
      <c r="H22" s="74" t="s">
        <v>12</v>
      </c>
      <c r="I22" s="2" t="s">
        <v>13</v>
      </c>
      <c r="J22" s="182">
        <f>N22+Z22+AD22+AH22+AL22+AP22+AT22+AX22+BB22+BF22+BJ22</f>
        <v>176.99460000000005</v>
      </c>
      <c r="K22" s="20"/>
      <c r="L22" s="3" t="s">
        <v>12</v>
      </c>
      <c r="M22" s="2" t="s">
        <v>13</v>
      </c>
      <c r="N22" s="22">
        <v>13.992</v>
      </c>
      <c r="O22" s="21" t="e">
        <f t="shared" si="0"/>
        <v>#REF!</v>
      </c>
      <c r="P22" s="252"/>
      <c r="Q22" s="252"/>
      <c r="R22" s="252"/>
      <c r="S22" s="252"/>
      <c r="T22" s="252"/>
      <c r="U22" s="252"/>
      <c r="V22" s="252"/>
      <c r="W22" s="20"/>
      <c r="X22" s="3" t="s">
        <v>12</v>
      </c>
      <c r="Y22" s="2" t="s">
        <v>13</v>
      </c>
      <c r="Z22" s="22">
        <v>18.464</v>
      </c>
      <c r="AA22" s="20"/>
      <c r="AB22" s="3" t="s">
        <v>12</v>
      </c>
      <c r="AC22" s="2" t="s">
        <v>13</v>
      </c>
      <c r="AD22" s="22">
        <v>11.739</v>
      </c>
      <c r="AE22" s="20"/>
      <c r="AF22" s="3" t="s">
        <v>12</v>
      </c>
      <c r="AG22" s="2" t="s">
        <v>13</v>
      </c>
      <c r="AH22" s="22">
        <v>19.375</v>
      </c>
      <c r="AI22" s="20"/>
      <c r="AJ22" s="3" t="s">
        <v>12</v>
      </c>
      <c r="AK22" s="2" t="s">
        <v>13</v>
      </c>
      <c r="AL22" s="22">
        <v>12.756</v>
      </c>
      <c r="AM22" s="20"/>
      <c r="AN22" s="3" t="s">
        <v>12</v>
      </c>
      <c r="AO22" s="2" t="s">
        <v>13</v>
      </c>
      <c r="AP22" s="22">
        <v>10.3666</v>
      </c>
      <c r="AQ22" s="20"/>
      <c r="AR22" s="3" t="s">
        <v>12</v>
      </c>
      <c r="AS22" s="2" t="s">
        <v>13</v>
      </c>
      <c r="AT22" s="22">
        <v>6.263</v>
      </c>
      <c r="AU22" s="20"/>
      <c r="AV22" s="3" t="s">
        <v>12</v>
      </c>
      <c r="AW22" s="2" t="s">
        <v>13</v>
      </c>
      <c r="AX22" s="22">
        <v>17.142</v>
      </c>
      <c r="AY22" s="20"/>
      <c r="AZ22" s="3" t="s">
        <v>12</v>
      </c>
      <c r="BA22" s="2" t="s">
        <v>13</v>
      </c>
      <c r="BB22" s="22">
        <v>26.19</v>
      </c>
      <c r="BC22" s="20"/>
      <c r="BD22" s="3" t="s">
        <v>12</v>
      </c>
      <c r="BE22" s="2" t="s">
        <v>13</v>
      </c>
      <c r="BF22" s="22">
        <v>14.579</v>
      </c>
      <c r="BG22" s="20"/>
      <c r="BH22" s="3" t="s">
        <v>12</v>
      </c>
      <c r="BI22" s="2" t="s">
        <v>13</v>
      </c>
      <c r="BJ22" s="22">
        <v>26.128</v>
      </c>
    </row>
    <row r="23" spans="7:62" ht="12.75">
      <c r="G23" s="20"/>
      <c r="H23" s="290" t="s">
        <v>14</v>
      </c>
      <c r="I23" s="2" t="s">
        <v>15</v>
      </c>
      <c r="J23" s="326">
        <f>N23+Z23+AD23+AH23+AL23+AP23+AT23+AX23+BB23+BF23+BJ23</f>
        <v>3626</v>
      </c>
      <c r="K23" s="20"/>
      <c r="L23" s="5" t="s">
        <v>14</v>
      </c>
      <c r="M23" s="2" t="s">
        <v>15</v>
      </c>
      <c r="N23" s="4">
        <v>284</v>
      </c>
      <c r="O23" s="21" t="e">
        <f t="shared" si="0"/>
        <v>#REF!</v>
      </c>
      <c r="P23" s="252"/>
      <c r="Q23" s="252"/>
      <c r="R23" s="252"/>
      <c r="S23" s="252"/>
      <c r="T23" s="252"/>
      <c r="U23" s="252"/>
      <c r="V23" s="252"/>
      <c r="W23" s="20"/>
      <c r="X23" s="5" t="s">
        <v>14</v>
      </c>
      <c r="Y23" s="2" t="s">
        <v>15</v>
      </c>
      <c r="Z23" s="4">
        <v>402</v>
      </c>
      <c r="AA23" s="20"/>
      <c r="AB23" s="5" t="s">
        <v>14</v>
      </c>
      <c r="AC23" s="2" t="s">
        <v>15</v>
      </c>
      <c r="AD23" s="4">
        <v>240</v>
      </c>
      <c r="AE23" s="20"/>
      <c r="AF23" s="5" t="s">
        <v>14</v>
      </c>
      <c r="AG23" s="2" t="s">
        <v>15</v>
      </c>
      <c r="AH23" s="4">
        <v>413</v>
      </c>
      <c r="AI23" s="20"/>
      <c r="AJ23" s="5" t="s">
        <v>14</v>
      </c>
      <c r="AK23" s="2" t="s">
        <v>15</v>
      </c>
      <c r="AL23" s="4">
        <v>258</v>
      </c>
      <c r="AM23" s="20"/>
      <c r="AN23" s="5" t="s">
        <v>14</v>
      </c>
      <c r="AO23" s="2" t="s">
        <v>15</v>
      </c>
      <c r="AP23" s="4">
        <v>180</v>
      </c>
      <c r="AQ23" s="20"/>
      <c r="AR23" s="5" t="s">
        <v>14</v>
      </c>
      <c r="AS23" s="2" t="s">
        <v>15</v>
      </c>
      <c r="AT23" s="4">
        <v>108</v>
      </c>
      <c r="AU23" s="20"/>
      <c r="AV23" s="5" t="s">
        <v>14</v>
      </c>
      <c r="AW23" s="2" t="s">
        <v>15</v>
      </c>
      <c r="AX23" s="4">
        <v>285</v>
      </c>
      <c r="AY23" s="20"/>
      <c r="AZ23" s="5" t="s">
        <v>14</v>
      </c>
      <c r="BA23" s="2" t="s">
        <v>15</v>
      </c>
      <c r="BB23" s="4">
        <v>577</v>
      </c>
      <c r="BC23" s="20"/>
      <c r="BD23" s="5" t="s">
        <v>14</v>
      </c>
      <c r="BE23" s="2" t="s">
        <v>15</v>
      </c>
      <c r="BF23" s="4">
        <v>306</v>
      </c>
      <c r="BG23" s="20"/>
      <c r="BH23" s="5" t="s">
        <v>14</v>
      </c>
      <c r="BI23" s="2" t="s">
        <v>15</v>
      </c>
      <c r="BJ23" s="4">
        <v>573</v>
      </c>
    </row>
    <row r="24" spans="7:62" ht="15">
      <c r="G24" s="20"/>
      <c r="H24" s="56" t="s">
        <v>334</v>
      </c>
      <c r="I24" s="57" t="s">
        <v>17</v>
      </c>
      <c r="J24" s="248"/>
      <c r="K24" s="20"/>
      <c r="L24" s="7" t="s">
        <v>16</v>
      </c>
      <c r="M24" s="2" t="s">
        <v>17</v>
      </c>
      <c r="N24" s="6"/>
      <c r="O24" s="21" t="e">
        <f t="shared" si="0"/>
        <v>#REF!</v>
      </c>
      <c r="P24" s="252"/>
      <c r="Q24" s="252"/>
      <c r="R24" s="252"/>
      <c r="S24" s="252"/>
      <c r="T24" s="252"/>
      <c r="U24" s="252"/>
      <c r="V24" s="252"/>
      <c r="W24" s="20"/>
      <c r="X24" s="7" t="s">
        <v>16</v>
      </c>
      <c r="Y24" s="2" t="s">
        <v>17</v>
      </c>
      <c r="Z24" s="6"/>
      <c r="AA24" s="20"/>
      <c r="AB24" s="7" t="s">
        <v>16</v>
      </c>
      <c r="AC24" s="2" t="s">
        <v>17</v>
      </c>
      <c r="AD24" s="6"/>
      <c r="AE24" s="20"/>
      <c r="AF24" s="7" t="s">
        <v>16</v>
      </c>
      <c r="AG24" s="2" t="s">
        <v>17</v>
      </c>
      <c r="AH24" s="6"/>
      <c r="AI24" s="20"/>
      <c r="AJ24" s="7" t="s">
        <v>16</v>
      </c>
      <c r="AK24" s="2" t="s">
        <v>17</v>
      </c>
      <c r="AL24" s="6"/>
      <c r="AM24" s="20"/>
      <c r="AN24" s="7" t="s">
        <v>16</v>
      </c>
      <c r="AO24" s="2" t="s">
        <v>17</v>
      </c>
      <c r="AP24" s="6"/>
      <c r="AQ24" s="20"/>
      <c r="AR24" s="7" t="s">
        <v>16</v>
      </c>
      <c r="AS24" s="2" t="s">
        <v>17</v>
      </c>
      <c r="AT24" s="6"/>
      <c r="AU24" s="20"/>
      <c r="AV24" s="7" t="s">
        <v>16</v>
      </c>
      <c r="AW24" s="2" t="s">
        <v>17</v>
      </c>
      <c r="AX24" s="6"/>
      <c r="AY24" s="20"/>
      <c r="AZ24" s="7" t="s">
        <v>16</v>
      </c>
      <c r="BA24" s="2" t="s">
        <v>17</v>
      </c>
      <c r="BB24" s="6"/>
      <c r="BC24" s="20"/>
      <c r="BD24" s="7" t="s">
        <v>16</v>
      </c>
      <c r="BE24" s="2" t="s">
        <v>17</v>
      </c>
      <c r="BF24" s="6"/>
      <c r="BG24" s="20"/>
      <c r="BH24" s="7" t="s">
        <v>16</v>
      </c>
      <c r="BI24" s="2" t="s">
        <v>17</v>
      </c>
      <c r="BJ24" s="6"/>
    </row>
    <row r="25" spans="7:62" ht="12.75">
      <c r="G25" s="20"/>
      <c r="H25" s="328" t="s">
        <v>18</v>
      </c>
      <c r="I25" s="11" t="s">
        <v>17</v>
      </c>
      <c r="J25" s="249"/>
      <c r="K25" s="20"/>
      <c r="L25" s="7" t="s">
        <v>18</v>
      </c>
      <c r="M25" s="11" t="s">
        <v>17</v>
      </c>
      <c r="N25" s="9"/>
      <c r="O25" s="21" t="e">
        <f t="shared" si="0"/>
        <v>#REF!</v>
      </c>
      <c r="P25" s="252"/>
      <c r="Q25" s="252"/>
      <c r="R25" s="252"/>
      <c r="S25" s="252"/>
      <c r="T25" s="252"/>
      <c r="U25" s="252"/>
      <c r="V25" s="252"/>
      <c r="W25" s="20"/>
      <c r="X25" s="7" t="s">
        <v>18</v>
      </c>
      <c r="Y25" s="11" t="s">
        <v>17</v>
      </c>
      <c r="Z25" s="9"/>
      <c r="AA25" s="20"/>
      <c r="AB25" s="7" t="s">
        <v>18</v>
      </c>
      <c r="AC25" s="11" t="s">
        <v>17</v>
      </c>
      <c r="AD25" s="9"/>
      <c r="AE25" s="20"/>
      <c r="AF25" s="7" t="s">
        <v>18</v>
      </c>
      <c r="AG25" s="11" t="s">
        <v>17</v>
      </c>
      <c r="AH25" s="9"/>
      <c r="AI25" s="20"/>
      <c r="AJ25" s="7" t="s">
        <v>18</v>
      </c>
      <c r="AK25" s="11" t="s">
        <v>17</v>
      </c>
      <c r="AL25" s="9"/>
      <c r="AM25" s="20"/>
      <c r="AN25" s="7" t="s">
        <v>18</v>
      </c>
      <c r="AO25" s="11" t="s">
        <v>17</v>
      </c>
      <c r="AP25" s="9"/>
      <c r="AQ25" s="20"/>
      <c r="AR25" s="7" t="s">
        <v>18</v>
      </c>
      <c r="AS25" s="11" t="s">
        <v>17</v>
      </c>
      <c r="AT25" s="9"/>
      <c r="AU25" s="20"/>
      <c r="AV25" s="7" t="s">
        <v>18</v>
      </c>
      <c r="AW25" s="11" t="s">
        <v>17</v>
      </c>
      <c r="AX25" s="9"/>
      <c r="AY25" s="20"/>
      <c r="AZ25" s="7" t="s">
        <v>18</v>
      </c>
      <c r="BA25" s="11" t="s">
        <v>17</v>
      </c>
      <c r="BB25" s="9"/>
      <c r="BC25" s="20"/>
      <c r="BD25" s="7" t="s">
        <v>18</v>
      </c>
      <c r="BE25" s="11" t="s">
        <v>17</v>
      </c>
      <c r="BF25" s="9"/>
      <c r="BG25" s="20"/>
      <c r="BH25" s="7" t="s">
        <v>18</v>
      </c>
      <c r="BI25" s="11" t="s">
        <v>17</v>
      </c>
      <c r="BJ25" s="9"/>
    </row>
    <row r="26" spans="7:62" ht="12.75">
      <c r="G26" s="20"/>
      <c r="H26" s="74" t="s">
        <v>19</v>
      </c>
      <c r="I26" s="11"/>
      <c r="J26" s="158"/>
      <c r="K26" s="20"/>
      <c r="L26" s="3" t="s">
        <v>19</v>
      </c>
      <c r="M26" s="8"/>
      <c r="N26" s="1"/>
      <c r="O26" s="21" t="e">
        <f t="shared" si="0"/>
        <v>#REF!</v>
      </c>
      <c r="P26" s="252"/>
      <c r="Q26" s="252"/>
      <c r="R26" s="252"/>
      <c r="S26" s="252"/>
      <c r="T26" s="252"/>
      <c r="U26" s="252"/>
      <c r="V26" s="252"/>
      <c r="W26" s="20"/>
      <c r="X26" s="3" t="s">
        <v>19</v>
      </c>
      <c r="Y26" s="8"/>
      <c r="Z26" s="1"/>
      <c r="AA26" s="20"/>
      <c r="AB26" s="3" t="s">
        <v>19</v>
      </c>
      <c r="AC26" s="8"/>
      <c r="AD26" s="1"/>
      <c r="AE26" s="20"/>
      <c r="AF26" s="3" t="s">
        <v>19</v>
      </c>
      <c r="AG26" s="8"/>
      <c r="AH26" s="1"/>
      <c r="AI26" s="20"/>
      <c r="AJ26" s="3" t="s">
        <v>19</v>
      </c>
      <c r="AK26" s="8"/>
      <c r="AL26" s="1"/>
      <c r="AM26" s="20"/>
      <c r="AN26" s="3" t="s">
        <v>19</v>
      </c>
      <c r="AO26" s="8"/>
      <c r="AP26" s="1"/>
      <c r="AQ26" s="20"/>
      <c r="AR26" s="3" t="s">
        <v>19</v>
      </c>
      <c r="AS26" s="8"/>
      <c r="AT26" s="1"/>
      <c r="AU26" s="20"/>
      <c r="AV26" s="3" t="s">
        <v>19</v>
      </c>
      <c r="AW26" s="8"/>
      <c r="AX26" s="1"/>
      <c r="AY26" s="20"/>
      <c r="AZ26" s="3" t="s">
        <v>19</v>
      </c>
      <c r="BA26" s="8"/>
      <c r="BB26" s="1"/>
      <c r="BC26" s="20"/>
      <c r="BD26" s="3" t="s">
        <v>19</v>
      </c>
      <c r="BE26" s="8"/>
      <c r="BF26" s="1"/>
      <c r="BG26" s="20"/>
      <c r="BH26" s="3" t="s">
        <v>19</v>
      </c>
      <c r="BI26" s="8"/>
      <c r="BJ26" s="1"/>
    </row>
    <row r="27" spans="2:62" ht="24.75" customHeight="1">
      <c r="B27" s="765" t="s">
        <v>383</v>
      </c>
      <c r="C27" s="765"/>
      <c r="D27" s="765"/>
      <c r="E27" s="765"/>
      <c r="G27" s="20"/>
      <c r="H27" s="74"/>
      <c r="I27" s="11"/>
      <c r="J27" s="158"/>
      <c r="K27" s="20"/>
      <c r="L27" s="3"/>
      <c r="M27" s="8"/>
      <c r="N27" s="1"/>
      <c r="O27" s="21" t="e">
        <f t="shared" si="0"/>
        <v>#REF!</v>
      </c>
      <c r="P27" s="252"/>
      <c r="Q27" s="252"/>
      <c r="R27" s="252"/>
      <c r="S27" s="252"/>
      <c r="T27" s="252"/>
      <c r="U27" s="252"/>
      <c r="V27" s="252"/>
      <c r="W27" s="20"/>
      <c r="X27" s="3"/>
      <c r="Y27" s="8"/>
      <c r="Z27" s="1"/>
      <c r="AA27" s="20"/>
      <c r="AB27" s="3"/>
      <c r="AC27" s="8"/>
      <c r="AD27" s="1"/>
      <c r="AE27" s="20"/>
      <c r="AF27" s="3"/>
      <c r="AG27" s="8"/>
      <c r="AH27" s="1"/>
      <c r="AI27" s="20"/>
      <c r="AJ27" s="3"/>
      <c r="AK27" s="8"/>
      <c r="AL27" s="1"/>
      <c r="AM27" s="20"/>
      <c r="AN27" s="3"/>
      <c r="AO27" s="8"/>
      <c r="AP27" s="1"/>
      <c r="AQ27" s="20"/>
      <c r="AR27" s="3"/>
      <c r="AS27" s="8"/>
      <c r="AT27" s="1"/>
      <c r="AU27" s="20"/>
      <c r="AV27" s="3"/>
      <c r="AW27" s="8"/>
      <c r="AX27" s="1"/>
      <c r="AY27" s="20"/>
      <c r="AZ27" s="3"/>
      <c r="BA27" s="8"/>
      <c r="BB27" s="1"/>
      <c r="BC27" s="20"/>
      <c r="BD27" s="3"/>
      <c r="BE27" s="8"/>
      <c r="BF27" s="1"/>
      <c r="BG27" s="20"/>
      <c r="BH27" s="3"/>
      <c r="BI27" s="8"/>
      <c r="BJ27" s="1"/>
    </row>
    <row r="28" spans="1:62" ht="18.75">
      <c r="A28" s="78"/>
      <c r="B28" s="372" t="s">
        <v>333</v>
      </c>
      <c r="C28" s="78"/>
      <c r="D28" s="35" t="s">
        <v>325</v>
      </c>
      <c r="E28" s="35" t="s">
        <v>326</v>
      </c>
      <c r="F28" s="46"/>
      <c r="G28" s="560" t="s">
        <v>394</v>
      </c>
      <c r="H28" s="372" t="s">
        <v>333</v>
      </c>
      <c r="I28" s="85"/>
      <c r="J28" s="158"/>
      <c r="K28" s="560" t="s">
        <v>394</v>
      </c>
      <c r="L28" s="372" t="s">
        <v>333</v>
      </c>
      <c r="M28" s="85"/>
      <c r="N28" s="1"/>
      <c r="O28" s="21" t="e">
        <f>O27-P27</f>
        <v>#REF!</v>
      </c>
      <c r="P28" s="252"/>
      <c r="Q28" s="252"/>
      <c r="R28" s="252"/>
      <c r="S28" s="252"/>
      <c r="T28" s="252"/>
      <c r="U28" s="252"/>
      <c r="V28" s="252"/>
      <c r="W28" s="560" t="s">
        <v>394</v>
      </c>
      <c r="X28" s="372" t="s">
        <v>333</v>
      </c>
      <c r="Y28" s="85"/>
      <c r="Z28" s="1"/>
      <c r="AA28" s="560" t="s">
        <v>394</v>
      </c>
      <c r="AB28" s="372" t="s">
        <v>333</v>
      </c>
      <c r="AC28" s="85"/>
      <c r="AD28" s="1"/>
      <c r="AE28" s="560" t="s">
        <v>394</v>
      </c>
      <c r="AF28" s="372" t="s">
        <v>333</v>
      </c>
      <c r="AG28" s="85"/>
      <c r="AH28" s="1"/>
      <c r="AI28" s="560" t="s">
        <v>394</v>
      </c>
      <c r="AJ28" s="372" t="s">
        <v>333</v>
      </c>
      <c r="AK28" s="85"/>
      <c r="AL28" s="1"/>
      <c r="AM28" s="560" t="s">
        <v>394</v>
      </c>
      <c r="AN28" s="372" t="s">
        <v>333</v>
      </c>
      <c r="AO28" s="85"/>
      <c r="AP28" s="1"/>
      <c r="AQ28" s="560" t="s">
        <v>394</v>
      </c>
      <c r="AR28" s="372" t="s">
        <v>333</v>
      </c>
      <c r="AS28" s="85"/>
      <c r="AT28" s="1"/>
      <c r="AU28" s="560" t="s">
        <v>394</v>
      </c>
      <c r="AV28" s="372" t="s">
        <v>333</v>
      </c>
      <c r="AW28" s="85"/>
      <c r="AX28" s="1"/>
      <c r="AY28" s="560" t="s">
        <v>394</v>
      </c>
      <c r="AZ28" s="372" t="s">
        <v>333</v>
      </c>
      <c r="BA28" s="85"/>
      <c r="BB28" s="1"/>
      <c r="BC28" s="560" t="s">
        <v>394</v>
      </c>
      <c r="BD28" s="372" t="s">
        <v>333</v>
      </c>
      <c r="BE28" s="85"/>
      <c r="BF28" s="1"/>
      <c r="BG28" s="560" t="s">
        <v>394</v>
      </c>
      <c r="BH28" s="372" t="s">
        <v>333</v>
      </c>
      <c r="BI28" s="85"/>
      <c r="BJ28" s="1"/>
    </row>
    <row r="29" spans="1:62" ht="15.75">
      <c r="A29" s="78"/>
      <c r="B29" s="338" t="s">
        <v>322</v>
      </c>
      <c r="C29" s="338" t="s">
        <v>13</v>
      </c>
      <c r="D29" s="503">
        <v>509</v>
      </c>
      <c r="E29" s="503">
        <v>509</v>
      </c>
      <c r="F29" s="352"/>
      <c r="G29" s="83" t="s">
        <v>217</v>
      </c>
      <c r="H29" s="338" t="s">
        <v>322</v>
      </c>
      <c r="I29" s="85" t="s">
        <v>13</v>
      </c>
      <c r="J29" s="365">
        <f aca="true" t="shared" si="1" ref="J29:J47">N29+Z29+AD29+AH29+AL29+AP29+AT29+AX29+BB29+BF29+BJ29</f>
        <v>0.38</v>
      </c>
      <c r="K29" s="83" t="s">
        <v>217</v>
      </c>
      <c r="L29" s="338" t="s">
        <v>322</v>
      </c>
      <c r="M29" s="85" t="s">
        <v>13</v>
      </c>
      <c r="N29" s="206">
        <v>0.01</v>
      </c>
      <c r="O29" s="21" t="e">
        <f t="shared" si="0"/>
        <v>#REF!</v>
      </c>
      <c r="P29" s="252"/>
      <c r="Q29" s="252"/>
      <c r="R29" s="252"/>
      <c r="S29" s="252"/>
      <c r="T29" s="252"/>
      <c r="U29" s="252"/>
      <c r="V29" s="252"/>
      <c r="W29" s="83" t="s">
        <v>217</v>
      </c>
      <c r="X29" s="338" t="s">
        <v>322</v>
      </c>
      <c r="Y29" s="85" t="s">
        <v>13</v>
      </c>
      <c r="Z29" s="206">
        <f>0.03+0.03</f>
        <v>0.06</v>
      </c>
      <c r="AA29" s="83" t="s">
        <v>217</v>
      </c>
      <c r="AB29" s="338" t="s">
        <v>322</v>
      </c>
      <c r="AC29" s="85" t="s">
        <v>13</v>
      </c>
      <c r="AD29" s="158"/>
      <c r="AE29" s="83" t="s">
        <v>217</v>
      </c>
      <c r="AF29" s="338" t="s">
        <v>322</v>
      </c>
      <c r="AG29" s="85" t="s">
        <v>13</v>
      </c>
      <c r="AH29" s="206">
        <f>0.01+0.04</f>
        <v>0.05</v>
      </c>
      <c r="AI29" s="83" t="s">
        <v>217</v>
      </c>
      <c r="AJ29" s="338" t="s">
        <v>322</v>
      </c>
      <c r="AK29" s="85" t="s">
        <v>13</v>
      </c>
      <c r="AL29" s="158"/>
      <c r="AM29" s="83" t="s">
        <v>217</v>
      </c>
      <c r="AN29" s="338" t="s">
        <v>322</v>
      </c>
      <c r="AO29" s="85" t="s">
        <v>13</v>
      </c>
      <c r="AP29" s="158"/>
      <c r="AQ29" s="83" t="s">
        <v>217</v>
      </c>
      <c r="AR29" s="338" t="s">
        <v>322</v>
      </c>
      <c r="AS29" s="85" t="s">
        <v>13</v>
      </c>
      <c r="AT29" s="158"/>
      <c r="AU29" s="83" t="s">
        <v>217</v>
      </c>
      <c r="AV29" s="338" t="s">
        <v>322</v>
      </c>
      <c r="AW29" s="85" t="s">
        <v>13</v>
      </c>
      <c r="AX29" s="158"/>
      <c r="AY29" s="83" t="s">
        <v>217</v>
      </c>
      <c r="AZ29" s="338" t="s">
        <v>322</v>
      </c>
      <c r="BA29" s="85" t="s">
        <v>13</v>
      </c>
      <c r="BB29" s="206">
        <v>0.15</v>
      </c>
      <c r="BC29" s="83" t="s">
        <v>217</v>
      </c>
      <c r="BD29" s="338" t="s">
        <v>322</v>
      </c>
      <c r="BE29" s="85" t="s">
        <v>13</v>
      </c>
      <c r="BF29" s="206">
        <v>0.01</v>
      </c>
      <c r="BG29" s="83" t="s">
        <v>217</v>
      </c>
      <c r="BH29" s="338" t="s">
        <v>322</v>
      </c>
      <c r="BI29" s="85" t="s">
        <v>13</v>
      </c>
      <c r="BJ29" s="206">
        <v>0.1</v>
      </c>
    </row>
    <row r="30" spans="1:62" ht="12.75" customHeight="1" hidden="1">
      <c r="A30" s="78"/>
      <c r="B30" s="338" t="s">
        <v>337</v>
      </c>
      <c r="C30" s="338" t="s">
        <v>13</v>
      </c>
      <c r="D30" s="503">
        <v>656</v>
      </c>
      <c r="E30" s="503">
        <v>656</v>
      </c>
      <c r="F30" s="352"/>
      <c r="G30" s="83" t="s">
        <v>156</v>
      </c>
      <c r="H30" s="338" t="s">
        <v>337</v>
      </c>
      <c r="I30" s="85" t="s">
        <v>13</v>
      </c>
      <c r="J30" s="182">
        <f t="shared" si="1"/>
        <v>0</v>
      </c>
      <c r="K30" s="83" t="s">
        <v>156</v>
      </c>
      <c r="L30" s="338" t="s">
        <v>337</v>
      </c>
      <c r="M30" s="85" t="s">
        <v>13</v>
      </c>
      <c r="N30" s="158"/>
      <c r="O30" s="21" t="e">
        <f t="shared" si="0"/>
        <v>#REF!</v>
      </c>
      <c r="P30" s="252"/>
      <c r="Q30" s="252"/>
      <c r="R30" s="252"/>
      <c r="S30" s="252"/>
      <c r="T30" s="252"/>
      <c r="U30" s="252"/>
      <c r="V30" s="252"/>
      <c r="W30" s="83" t="s">
        <v>156</v>
      </c>
      <c r="X30" s="338" t="s">
        <v>337</v>
      </c>
      <c r="Y30" s="85" t="s">
        <v>13</v>
      </c>
      <c r="Z30" s="158"/>
      <c r="AA30" s="83" t="s">
        <v>156</v>
      </c>
      <c r="AB30" s="338" t="s">
        <v>337</v>
      </c>
      <c r="AC30" s="85" t="s">
        <v>13</v>
      </c>
      <c r="AD30" s="158"/>
      <c r="AE30" s="83" t="s">
        <v>156</v>
      </c>
      <c r="AF30" s="338" t="s">
        <v>337</v>
      </c>
      <c r="AG30" s="85" t="s">
        <v>13</v>
      </c>
      <c r="AH30" s="158"/>
      <c r="AI30" s="83" t="s">
        <v>156</v>
      </c>
      <c r="AJ30" s="338" t="s">
        <v>337</v>
      </c>
      <c r="AK30" s="85" t="s">
        <v>13</v>
      </c>
      <c r="AL30" s="158"/>
      <c r="AM30" s="83" t="s">
        <v>156</v>
      </c>
      <c r="AN30" s="338" t="s">
        <v>337</v>
      </c>
      <c r="AO30" s="85" t="s">
        <v>13</v>
      </c>
      <c r="AP30" s="158"/>
      <c r="AQ30" s="83" t="s">
        <v>156</v>
      </c>
      <c r="AR30" s="338" t="s">
        <v>337</v>
      </c>
      <c r="AS30" s="85" t="s">
        <v>13</v>
      </c>
      <c r="AT30" s="158"/>
      <c r="AU30" s="83" t="s">
        <v>156</v>
      </c>
      <c r="AV30" s="338" t="s">
        <v>337</v>
      </c>
      <c r="AW30" s="85" t="s">
        <v>13</v>
      </c>
      <c r="AX30" s="158"/>
      <c r="AY30" s="83" t="s">
        <v>156</v>
      </c>
      <c r="AZ30" s="338" t="s">
        <v>337</v>
      </c>
      <c r="BA30" s="85" t="s">
        <v>13</v>
      </c>
      <c r="BB30" s="158"/>
      <c r="BC30" s="83" t="s">
        <v>156</v>
      </c>
      <c r="BD30" s="338" t="s">
        <v>337</v>
      </c>
      <c r="BE30" s="85" t="s">
        <v>13</v>
      </c>
      <c r="BF30" s="158"/>
      <c r="BG30" s="83" t="s">
        <v>156</v>
      </c>
      <c r="BH30" s="338" t="s">
        <v>337</v>
      </c>
      <c r="BI30" s="85" t="s">
        <v>13</v>
      </c>
      <c r="BJ30" s="158"/>
    </row>
    <row r="31" spans="1:62" ht="12.75" customHeight="1" hidden="1">
      <c r="A31" s="129"/>
      <c r="B31" s="371" t="s">
        <v>152</v>
      </c>
      <c r="C31" s="371" t="s">
        <v>10</v>
      </c>
      <c r="D31" s="130"/>
      <c r="E31" s="130"/>
      <c r="F31" s="352"/>
      <c r="G31" s="131" t="s">
        <v>157</v>
      </c>
      <c r="H31" s="371" t="s">
        <v>152</v>
      </c>
      <c r="I31" s="279" t="s">
        <v>10</v>
      </c>
      <c r="J31" s="189">
        <f t="shared" si="1"/>
        <v>0</v>
      </c>
      <c r="K31" s="131" t="s">
        <v>157</v>
      </c>
      <c r="L31" s="371" t="s">
        <v>152</v>
      </c>
      <c r="M31" s="279" t="s">
        <v>10</v>
      </c>
      <c r="N31" s="158"/>
      <c r="O31" s="21" t="e">
        <f t="shared" si="0"/>
        <v>#REF!</v>
      </c>
      <c r="P31" s="252"/>
      <c r="Q31" s="252"/>
      <c r="R31" s="252"/>
      <c r="S31" s="252"/>
      <c r="T31" s="252"/>
      <c r="U31" s="252"/>
      <c r="V31" s="252"/>
      <c r="W31" s="131" t="s">
        <v>157</v>
      </c>
      <c r="X31" s="371" t="s">
        <v>152</v>
      </c>
      <c r="Y31" s="279" t="s">
        <v>10</v>
      </c>
      <c r="Z31" s="158"/>
      <c r="AA31" s="131" t="s">
        <v>157</v>
      </c>
      <c r="AB31" s="371" t="s">
        <v>152</v>
      </c>
      <c r="AC31" s="279" t="s">
        <v>10</v>
      </c>
      <c r="AD31" s="158"/>
      <c r="AE31" s="131" t="s">
        <v>157</v>
      </c>
      <c r="AF31" s="371" t="s">
        <v>152</v>
      </c>
      <c r="AG31" s="279" t="s">
        <v>10</v>
      </c>
      <c r="AH31" s="158"/>
      <c r="AI31" s="131" t="s">
        <v>157</v>
      </c>
      <c r="AJ31" s="371" t="s">
        <v>152</v>
      </c>
      <c r="AK31" s="279" t="s">
        <v>10</v>
      </c>
      <c r="AL31" s="158"/>
      <c r="AM31" s="131" t="s">
        <v>157</v>
      </c>
      <c r="AN31" s="371" t="s">
        <v>152</v>
      </c>
      <c r="AO31" s="279" t="s">
        <v>10</v>
      </c>
      <c r="AP31" s="158"/>
      <c r="AQ31" s="131" t="s">
        <v>157</v>
      </c>
      <c r="AR31" s="371" t="s">
        <v>152</v>
      </c>
      <c r="AS31" s="279" t="s">
        <v>10</v>
      </c>
      <c r="AT31" s="158"/>
      <c r="AU31" s="131" t="s">
        <v>157</v>
      </c>
      <c r="AV31" s="371" t="s">
        <v>152</v>
      </c>
      <c r="AW31" s="279" t="s">
        <v>10</v>
      </c>
      <c r="AX31" s="158"/>
      <c r="AY31" s="131" t="s">
        <v>157</v>
      </c>
      <c r="AZ31" s="371" t="s">
        <v>152</v>
      </c>
      <c r="BA31" s="279" t="s">
        <v>10</v>
      </c>
      <c r="BB31" s="158"/>
      <c r="BC31" s="131" t="s">
        <v>157</v>
      </c>
      <c r="BD31" s="371" t="s">
        <v>152</v>
      </c>
      <c r="BE31" s="279" t="s">
        <v>10</v>
      </c>
      <c r="BF31" s="158"/>
      <c r="BG31" s="131" t="s">
        <v>157</v>
      </c>
      <c r="BH31" s="371" t="s">
        <v>152</v>
      </c>
      <c r="BI31" s="279" t="s">
        <v>10</v>
      </c>
      <c r="BJ31" s="158"/>
    </row>
    <row r="32" spans="1:62" ht="25.5" customHeight="1">
      <c r="A32" s="78"/>
      <c r="B32" s="356" t="s">
        <v>338</v>
      </c>
      <c r="C32" s="338" t="s">
        <v>23</v>
      </c>
      <c r="D32" s="510">
        <v>2.28</v>
      </c>
      <c r="E32" s="510">
        <v>2.28</v>
      </c>
      <c r="F32" s="352"/>
      <c r="G32" s="83" t="s">
        <v>158</v>
      </c>
      <c r="H32" s="356" t="s">
        <v>338</v>
      </c>
      <c r="I32" s="85" t="s">
        <v>23</v>
      </c>
      <c r="J32" s="534">
        <f t="shared" si="1"/>
        <v>211</v>
      </c>
      <c r="K32" s="83" t="s">
        <v>158</v>
      </c>
      <c r="L32" s="356" t="s">
        <v>338</v>
      </c>
      <c r="M32" s="85" t="s">
        <v>23</v>
      </c>
      <c r="N32" s="158">
        <v>8</v>
      </c>
      <c r="O32" s="21" t="e">
        <f>O31-P31</f>
        <v>#REF!</v>
      </c>
      <c r="P32" s="252"/>
      <c r="Q32" s="252"/>
      <c r="R32" s="252"/>
      <c r="S32" s="252"/>
      <c r="T32" s="252"/>
      <c r="U32" s="252"/>
      <c r="V32" s="252"/>
      <c r="W32" s="83" t="s">
        <v>158</v>
      </c>
      <c r="X32" s="356" t="s">
        <v>338</v>
      </c>
      <c r="Y32" s="85" t="s">
        <v>23</v>
      </c>
      <c r="Z32" s="158">
        <v>27</v>
      </c>
      <c r="AA32" s="83" t="s">
        <v>158</v>
      </c>
      <c r="AB32" s="356" t="s">
        <v>338</v>
      </c>
      <c r="AC32" s="85" t="s">
        <v>23</v>
      </c>
      <c r="AD32" s="158">
        <v>17</v>
      </c>
      <c r="AE32" s="83" t="s">
        <v>158</v>
      </c>
      <c r="AF32" s="356" t="s">
        <v>338</v>
      </c>
      <c r="AG32" s="85" t="s">
        <v>23</v>
      </c>
      <c r="AH32" s="158">
        <v>28</v>
      </c>
      <c r="AI32" s="83" t="s">
        <v>158</v>
      </c>
      <c r="AJ32" s="356" t="s">
        <v>338</v>
      </c>
      <c r="AK32" s="85" t="s">
        <v>23</v>
      </c>
      <c r="AL32" s="158">
        <v>18</v>
      </c>
      <c r="AM32" s="83" t="s">
        <v>158</v>
      </c>
      <c r="AN32" s="356" t="s">
        <v>338</v>
      </c>
      <c r="AO32" s="85" t="s">
        <v>23</v>
      </c>
      <c r="AP32" s="158">
        <v>5</v>
      </c>
      <c r="AQ32" s="83" t="s">
        <v>158</v>
      </c>
      <c r="AR32" s="356" t="s">
        <v>338</v>
      </c>
      <c r="AS32" s="85" t="s">
        <v>23</v>
      </c>
      <c r="AT32" s="158">
        <v>3</v>
      </c>
      <c r="AU32" s="83" t="s">
        <v>158</v>
      </c>
      <c r="AV32" s="356" t="s">
        <v>338</v>
      </c>
      <c r="AW32" s="85" t="s">
        <v>23</v>
      </c>
      <c r="AX32" s="158">
        <v>8</v>
      </c>
      <c r="AY32" s="83" t="s">
        <v>158</v>
      </c>
      <c r="AZ32" s="356" t="s">
        <v>338</v>
      </c>
      <c r="BA32" s="85" t="s">
        <v>23</v>
      </c>
      <c r="BB32" s="158">
        <v>38</v>
      </c>
      <c r="BC32" s="83" t="s">
        <v>158</v>
      </c>
      <c r="BD32" s="356" t="s">
        <v>338</v>
      </c>
      <c r="BE32" s="85" t="s">
        <v>23</v>
      </c>
      <c r="BF32" s="158">
        <v>21</v>
      </c>
      <c r="BG32" s="83" t="s">
        <v>158</v>
      </c>
      <c r="BH32" s="356" t="s">
        <v>338</v>
      </c>
      <c r="BI32" s="85" t="s">
        <v>23</v>
      </c>
      <c r="BJ32" s="158">
        <v>38</v>
      </c>
    </row>
    <row r="33" spans="1:62" ht="15.75">
      <c r="A33" s="78"/>
      <c r="B33" s="84" t="s">
        <v>318</v>
      </c>
      <c r="C33" s="338" t="s">
        <v>15</v>
      </c>
      <c r="D33" s="100">
        <v>0</v>
      </c>
      <c r="E33" s="100">
        <v>0</v>
      </c>
      <c r="F33" s="352"/>
      <c r="G33" s="83" t="s">
        <v>159</v>
      </c>
      <c r="H33" s="84" t="s">
        <v>318</v>
      </c>
      <c r="I33" s="85" t="s">
        <v>15</v>
      </c>
      <c r="J33" s="168">
        <f t="shared" si="1"/>
        <v>0</v>
      </c>
      <c r="K33" s="83" t="s">
        <v>159</v>
      </c>
      <c r="L33" s="84" t="s">
        <v>318</v>
      </c>
      <c r="M33" s="85" t="s">
        <v>15</v>
      </c>
      <c r="N33" s="158"/>
      <c r="O33" s="21"/>
      <c r="P33" s="252"/>
      <c r="Q33" s="252"/>
      <c r="R33" s="252"/>
      <c r="S33" s="252"/>
      <c r="T33" s="252"/>
      <c r="U33" s="252"/>
      <c r="V33" s="252"/>
      <c r="W33" s="83" t="s">
        <v>159</v>
      </c>
      <c r="X33" s="84" t="s">
        <v>318</v>
      </c>
      <c r="Y33" s="85" t="s">
        <v>15</v>
      </c>
      <c r="Z33" s="158"/>
      <c r="AA33" s="83" t="s">
        <v>159</v>
      </c>
      <c r="AB33" s="84" t="s">
        <v>318</v>
      </c>
      <c r="AC33" s="85" t="s">
        <v>15</v>
      </c>
      <c r="AD33" s="158"/>
      <c r="AE33" s="83" t="s">
        <v>159</v>
      </c>
      <c r="AF33" s="84" t="s">
        <v>318</v>
      </c>
      <c r="AG33" s="85" t="s">
        <v>15</v>
      </c>
      <c r="AH33" s="158"/>
      <c r="AI33" s="83" t="s">
        <v>159</v>
      </c>
      <c r="AJ33" s="84" t="s">
        <v>318</v>
      </c>
      <c r="AK33" s="85" t="s">
        <v>15</v>
      </c>
      <c r="AL33" s="158"/>
      <c r="AM33" s="83" t="s">
        <v>159</v>
      </c>
      <c r="AN33" s="84" t="s">
        <v>318</v>
      </c>
      <c r="AO33" s="85" t="s">
        <v>15</v>
      </c>
      <c r="AP33" s="158"/>
      <c r="AQ33" s="83" t="s">
        <v>159</v>
      </c>
      <c r="AR33" s="84" t="s">
        <v>318</v>
      </c>
      <c r="AS33" s="85" t="s">
        <v>15</v>
      </c>
      <c r="AT33" s="158"/>
      <c r="AU33" s="83" t="s">
        <v>159</v>
      </c>
      <c r="AV33" s="84" t="s">
        <v>318</v>
      </c>
      <c r="AW33" s="85" t="s">
        <v>15</v>
      </c>
      <c r="AX33" s="158"/>
      <c r="AY33" s="83" t="s">
        <v>159</v>
      </c>
      <c r="AZ33" s="84" t="s">
        <v>318</v>
      </c>
      <c r="BA33" s="85" t="s">
        <v>15</v>
      </c>
      <c r="BB33" s="158"/>
      <c r="BC33" s="83" t="s">
        <v>159</v>
      </c>
      <c r="BD33" s="84" t="s">
        <v>318</v>
      </c>
      <c r="BE33" s="85" t="s">
        <v>15</v>
      </c>
      <c r="BF33" s="158"/>
      <c r="BG33" s="83" t="s">
        <v>159</v>
      </c>
      <c r="BH33" s="84" t="s">
        <v>318</v>
      </c>
      <c r="BI33" s="85" t="s">
        <v>15</v>
      </c>
      <c r="BJ33" s="158"/>
    </row>
    <row r="34" spans="1:62" ht="15.75">
      <c r="A34" s="78"/>
      <c r="B34" s="338" t="s">
        <v>21</v>
      </c>
      <c r="C34" s="338" t="s">
        <v>13</v>
      </c>
      <c r="D34" s="510">
        <v>0.187</v>
      </c>
      <c r="E34" s="510">
        <v>0.187</v>
      </c>
      <c r="F34" s="352"/>
      <c r="G34" s="83" t="s">
        <v>160</v>
      </c>
      <c r="H34" s="338" t="s">
        <v>21</v>
      </c>
      <c r="I34" s="85" t="s">
        <v>15</v>
      </c>
      <c r="J34" s="534">
        <f t="shared" si="1"/>
        <v>16</v>
      </c>
      <c r="K34" s="83" t="s">
        <v>160</v>
      </c>
      <c r="L34" s="338" t="s">
        <v>21</v>
      </c>
      <c r="M34" s="85" t="s">
        <v>15</v>
      </c>
      <c r="N34" s="158"/>
      <c r="O34" s="21" t="e">
        <f>O32-P32</f>
        <v>#REF!</v>
      </c>
      <c r="P34" s="252"/>
      <c r="Q34" s="252"/>
      <c r="R34" s="252"/>
      <c r="S34" s="252"/>
      <c r="T34" s="252"/>
      <c r="U34" s="252"/>
      <c r="V34" s="252"/>
      <c r="W34" s="83" t="s">
        <v>160</v>
      </c>
      <c r="X34" s="338" t="s">
        <v>21</v>
      </c>
      <c r="Y34" s="85" t="s">
        <v>15</v>
      </c>
      <c r="Z34" s="158">
        <v>1</v>
      </c>
      <c r="AA34" s="83" t="s">
        <v>160</v>
      </c>
      <c r="AB34" s="338" t="s">
        <v>21</v>
      </c>
      <c r="AC34" s="85" t="s">
        <v>15</v>
      </c>
      <c r="AD34" s="158">
        <v>3</v>
      </c>
      <c r="AE34" s="83" t="s">
        <v>160</v>
      </c>
      <c r="AF34" s="338" t="s">
        <v>21</v>
      </c>
      <c r="AG34" s="85" t="s">
        <v>15</v>
      </c>
      <c r="AH34" s="158">
        <v>1</v>
      </c>
      <c r="AI34" s="83" t="s">
        <v>160</v>
      </c>
      <c r="AJ34" s="338" t="s">
        <v>21</v>
      </c>
      <c r="AK34" s="85" t="s">
        <v>15</v>
      </c>
      <c r="AL34" s="158">
        <v>2</v>
      </c>
      <c r="AM34" s="83" t="s">
        <v>160</v>
      </c>
      <c r="AN34" s="338" t="s">
        <v>21</v>
      </c>
      <c r="AO34" s="85" t="s">
        <v>15</v>
      </c>
      <c r="AP34" s="158">
        <v>2</v>
      </c>
      <c r="AQ34" s="83" t="s">
        <v>160</v>
      </c>
      <c r="AR34" s="338" t="s">
        <v>21</v>
      </c>
      <c r="AS34" s="85" t="s">
        <v>15</v>
      </c>
      <c r="AT34" s="158"/>
      <c r="AU34" s="83" t="s">
        <v>160</v>
      </c>
      <c r="AV34" s="338" t="s">
        <v>21</v>
      </c>
      <c r="AW34" s="85" t="s">
        <v>15</v>
      </c>
      <c r="AX34" s="158">
        <v>3</v>
      </c>
      <c r="AY34" s="83" t="s">
        <v>160</v>
      </c>
      <c r="AZ34" s="338" t="s">
        <v>21</v>
      </c>
      <c r="BA34" s="85" t="s">
        <v>15</v>
      </c>
      <c r="BB34" s="158">
        <v>2</v>
      </c>
      <c r="BC34" s="83" t="s">
        <v>160</v>
      </c>
      <c r="BD34" s="338" t="s">
        <v>21</v>
      </c>
      <c r="BE34" s="85" t="s">
        <v>15</v>
      </c>
      <c r="BF34" s="158">
        <v>2</v>
      </c>
      <c r="BG34" s="83" t="s">
        <v>160</v>
      </c>
      <c r="BH34" s="338" t="s">
        <v>21</v>
      </c>
      <c r="BI34" s="85" t="s">
        <v>15</v>
      </c>
      <c r="BJ34" s="158"/>
    </row>
    <row r="35" spans="1:62" ht="15.75">
      <c r="A35" s="516"/>
      <c r="B35" s="504" t="s">
        <v>339</v>
      </c>
      <c r="C35" s="504" t="s">
        <v>22</v>
      </c>
      <c r="D35" s="512">
        <v>425.05100000000004</v>
      </c>
      <c r="E35" s="512">
        <v>425.05100000000004</v>
      </c>
      <c r="F35" s="352"/>
      <c r="G35" s="83" t="s">
        <v>161</v>
      </c>
      <c r="H35" s="338" t="s">
        <v>339</v>
      </c>
      <c r="I35" s="85" t="s">
        <v>22</v>
      </c>
      <c r="J35" s="365">
        <f t="shared" si="1"/>
        <v>1.126</v>
      </c>
      <c r="K35" s="83" t="s">
        <v>161</v>
      </c>
      <c r="L35" s="338" t="s">
        <v>339</v>
      </c>
      <c r="M35" s="85" t="s">
        <v>22</v>
      </c>
      <c r="N35" s="206">
        <v>0.16</v>
      </c>
      <c r="O35" s="21"/>
      <c r="P35" s="716" t="s">
        <v>327</v>
      </c>
      <c r="Q35" s="716" t="s">
        <v>13</v>
      </c>
      <c r="R35" s="252"/>
      <c r="S35" s="252"/>
      <c r="T35" s="252"/>
      <c r="U35" s="252"/>
      <c r="V35" s="252"/>
      <c r="W35" s="83" t="s">
        <v>161</v>
      </c>
      <c r="X35" s="338" t="s">
        <v>339</v>
      </c>
      <c r="Y35" s="85" t="s">
        <v>22</v>
      </c>
      <c r="Z35" s="158">
        <v>0.036</v>
      </c>
      <c r="AA35" s="83" t="s">
        <v>161</v>
      </c>
      <c r="AB35" s="338" t="s">
        <v>339</v>
      </c>
      <c r="AC35" s="85" t="s">
        <v>22</v>
      </c>
      <c r="AD35" s="158"/>
      <c r="AE35" s="83" t="s">
        <v>161</v>
      </c>
      <c r="AF35" s="338" t="s">
        <v>339</v>
      </c>
      <c r="AG35" s="85" t="s">
        <v>22</v>
      </c>
      <c r="AH35" s="158"/>
      <c r="AI35" s="83" t="s">
        <v>161</v>
      </c>
      <c r="AJ35" s="338" t="s">
        <v>339</v>
      </c>
      <c r="AK35" s="85" t="s">
        <v>22</v>
      </c>
      <c r="AL35" s="158"/>
      <c r="AM35" s="83" t="s">
        <v>161</v>
      </c>
      <c r="AN35" s="338" t="s">
        <v>339</v>
      </c>
      <c r="AO35" s="85" t="s">
        <v>22</v>
      </c>
      <c r="AP35" s="206">
        <f>0.3+0.2</f>
        <v>0.5</v>
      </c>
      <c r="AQ35" s="83" t="s">
        <v>161</v>
      </c>
      <c r="AR35" s="338" t="s">
        <v>339</v>
      </c>
      <c r="AS35" s="85" t="s">
        <v>22</v>
      </c>
      <c r="AT35" s="206">
        <f>0.12</f>
        <v>0.12</v>
      </c>
      <c r="AU35" s="83" t="s">
        <v>161</v>
      </c>
      <c r="AV35" s="338" t="s">
        <v>339</v>
      </c>
      <c r="AW35" s="85" t="s">
        <v>22</v>
      </c>
      <c r="AX35" s="206">
        <v>0.25</v>
      </c>
      <c r="AY35" s="83" t="s">
        <v>161</v>
      </c>
      <c r="AZ35" s="338" t="s">
        <v>339</v>
      </c>
      <c r="BA35" s="85" t="s">
        <v>22</v>
      </c>
      <c r="BB35" s="158"/>
      <c r="BC35" s="83" t="s">
        <v>161</v>
      </c>
      <c r="BD35" s="338" t="s">
        <v>339</v>
      </c>
      <c r="BE35" s="85" t="s">
        <v>22</v>
      </c>
      <c r="BF35" s="158"/>
      <c r="BG35" s="83" t="s">
        <v>161</v>
      </c>
      <c r="BH35" s="338" t="s">
        <v>339</v>
      </c>
      <c r="BI35" s="85" t="s">
        <v>22</v>
      </c>
      <c r="BJ35" s="206">
        <v>0.06</v>
      </c>
    </row>
    <row r="36" spans="1:62" ht="15.75" hidden="1">
      <c r="A36" s="516"/>
      <c r="B36" s="504" t="s">
        <v>335</v>
      </c>
      <c r="C36" s="504" t="s">
        <v>13</v>
      </c>
      <c r="D36" s="512">
        <v>1566</v>
      </c>
      <c r="E36" s="512">
        <v>1566</v>
      </c>
      <c r="F36" s="352"/>
      <c r="G36" s="83" t="s">
        <v>162</v>
      </c>
      <c r="H36" s="338" t="s">
        <v>335</v>
      </c>
      <c r="I36" s="85" t="s">
        <v>13</v>
      </c>
      <c r="J36" s="365">
        <f t="shared" si="1"/>
        <v>0</v>
      </c>
      <c r="K36" s="83" t="s">
        <v>162</v>
      </c>
      <c r="L36" s="338" t="s">
        <v>335</v>
      </c>
      <c r="M36" s="85" t="s">
        <v>13</v>
      </c>
      <c r="N36" s="158"/>
      <c r="O36" s="21"/>
      <c r="P36" s="716" t="s">
        <v>328</v>
      </c>
      <c r="Q36" s="716" t="s">
        <v>13</v>
      </c>
      <c r="R36" s="252"/>
      <c r="S36" s="252"/>
      <c r="T36" s="252"/>
      <c r="U36" s="252"/>
      <c r="V36" s="252"/>
      <c r="W36" s="83" t="s">
        <v>162</v>
      </c>
      <c r="X36" s="338" t="s">
        <v>335</v>
      </c>
      <c r="Y36" s="85" t="s">
        <v>13</v>
      </c>
      <c r="Z36" s="158"/>
      <c r="AA36" s="83" t="s">
        <v>162</v>
      </c>
      <c r="AB36" s="338" t="s">
        <v>335</v>
      </c>
      <c r="AC36" s="85" t="s">
        <v>13</v>
      </c>
      <c r="AD36" s="158"/>
      <c r="AE36" s="83" t="s">
        <v>162</v>
      </c>
      <c r="AF36" s="338" t="s">
        <v>335</v>
      </c>
      <c r="AG36" s="85" t="s">
        <v>13</v>
      </c>
      <c r="AH36" s="158"/>
      <c r="AI36" s="83" t="s">
        <v>162</v>
      </c>
      <c r="AJ36" s="338" t="s">
        <v>335</v>
      </c>
      <c r="AK36" s="85" t="s">
        <v>13</v>
      </c>
      <c r="AL36" s="158"/>
      <c r="AM36" s="83" t="s">
        <v>162</v>
      </c>
      <c r="AN36" s="338" t="s">
        <v>335</v>
      </c>
      <c r="AO36" s="85" t="s">
        <v>13</v>
      </c>
      <c r="AP36" s="206"/>
      <c r="AQ36" s="83" t="s">
        <v>162</v>
      </c>
      <c r="AR36" s="338" t="s">
        <v>335</v>
      </c>
      <c r="AS36" s="85" t="s">
        <v>13</v>
      </c>
      <c r="AT36" s="158"/>
      <c r="AU36" s="83" t="s">
        <v>162</v>
      </c>
      <c r="AV36" s="338" t="s">
        <v>335</v>
      </c>
      <c r="AW36" s="85" t="s">
        <v>13</v>
      </c>
      <c r="AX36" s="158"/>
      <c r="AY36" s="83" t="s">
        <v>162</v>
      </c>
      <c r="AZ36" s="338" t="s">
        <v>335</v>
      </c>
      <c r="BA36" s="85" t="s">
        <v>13</v>
      </c>
      <c r="BB36" s="158"/>
      <c r="BC36" s="83" t="s">
        <v>162</v>
      </c>
      <c r="BD36" s="338" t="s">
        <v>335</v>
      </c>
      <c r="BE36" s="85" t="s">
        <v>13</v>
      </c>
      <c r="BF36" s="158"/>
      <c r="BG36" s="83" t="s">
        <v>162</v>
      </c>
      <c r="BH36" s="338" t="s">
        <v>335</v>
      </c>
      <c r="BI36" s="85" t="s">
        <v>13</v>
      </c>
      <c r="BJ36" s="158"/>
    </row>
    <row r="37" spans="1:62" s="361" customFormat="1" ht="15.75" hidden="1">
      <c r="A37" s="516"/>
      <c r="B37" s="504" t="s">
        <v>208</v>
      </c>
      <c r="C37" s="504" t="s">
        <v>13</v>
      </c>
      <c r="D37" s="512">
        <v>2115</v>
      </c>
      <c r="E37" s="512">
        <v>2115</v>
      </c>
      <c r="F37" s="364"/>
      <c r="G37" s="83" t="s">
        <v>163</v>
      </c>
      <c r="H37" s="338" t="s">
        <v>208</v>
      </c>
      <c r="I37" s="85" t="s">
        <v>13</v>
      </c>
      <c r="J37" s="365">
        <f t="shared" si="1"/>
        <v>0</v>
      </c>
      <c r="K37" s="83" t="s">
        <v>163</v>
      </c>
      <c r="L37" s="338" t="s">
        <v>208</v>
      </c>
      <c r="M37" s="85" t="s">
        <v>13</v>
      </c>
      <c r="N37" s="373"/>
      <c r="O37" s="21" t="e">
        <f>O34-P34</f>
        <v>#REF!</v>
      </c>
      <c r="P37" s="717" t="s">
        <v>329</v>
      </c>
      <c r="Q37" s="717" t="s">
        <v>22</v>
      </c>
      <c r="R37" s="250"/>
      <c r="S37" s="250"/>
      <c r="T37" s="250"/>
      <c r="U37" s="250"/>
      <c r="V37" s="250"/>
      <c r="W37" s="83" t="s">
        <v>163</v>
      </c>
      <c r="X37" s="338" t="s">
        <v>208</v>
      </c>
      <c r="Y37" s="85" t="s">
        <v>13</v>
      </c>
      <c r="Z37" s="249"/>
      <c r="AA37" s="83" t="s">
        <v>163</v>
      </c>
      <c r="AB37" s="338" t="s">
        <v>208</v>
      </c>
      <c r="AC37" s="85" t="s">
        <v>13</v>
      </c>
      <c r="AD37" s="249"/>
      <c r="AE37" s="83" t="s">
        <v>163</v>
      </c>
      <c r="AF37" s="338" t="s">
        <v>208</v>
      </c>
      <c r="AG37" s="85" t="s">
        <v>13</v>
      </c>
      <c r="AH37" s="249"/>
      <c r="AI37" s="83" t="s">
        <v>163</v>
      </c>
      <c r="AJ37" s="338" t="s">
        <v>208</v>
      </c>
      <c r="AK37" s="85" t="s">
        <v>13</v>
      </c>
      <c r="AL37" s="249"/>
      <c r="AM37" s="83" t="s">
        <v>163</v>
      </c>
      <c r="AN37" s="338" t="s">
        <v>208</v>
      </c>
      <c r="AO37" s="85" t="s">
        <v>13</v>
      </c>
      <c r="AP37" s="373"/>
      <c r="AQ37" s="83" t="s">
        <v>163</v>
      </c>
      <c r="AR37" s="338" t="s">
        <v>208</v>
      </c>
      <c r="AS37" s="85" t="s">
        <v>13</v>
      </c>
      <c r="AT37" s="249"/>
      <c r="AU37" s="83" t="s">
        <v>163</v>
      </c>
      <c r="AV37" s="338" t="s">
        <v>208</v>
      </c>
      <c r="AW37" s="85" t="s">
        <v>13</v>
      </c>
      <c r="AX37" s="249"/>
      <c r="AY37" s="83" t="s">
        <v>163</v>
      </c>
      <c r="AZ37" s="338" t="s">
        <v>208</v>
      </c>
      <c r="BA37" s="85" t="s">
        <v>13</v>
      </c>
      <c r="BB37" s="249"/>
      <c r="BC37" s="83" t="s">
        <v>163</v>
      </c>
      <c r="BD37" s="338" t="s">
        <v>208</v>
      </c>
      <c r="BE37" s="85" t="s">
        <v>13</v>
      </c>
      <c r="BF37" s="249"/>
      <c r="BG37" s="83" t="s">
        <v>163</v>
      </c>
      <c r="BH37" s="338" t="s">
        <v>208</v>
      </c>
      <c r="BI37" s="85" t="s">
        <v>13</v>
      </c>
      <c r="BJ37" s="249"/>
    </row>
    <row r="38" spans="1:62" ht="15.75" customHeight="1" hidden="1">
      <c r="A38" s="78"/>
      <c r="B38" s="338" t="s">
        <v>209</v>
      </c>
      <c r="C38" s="338" t="s">
        <v>23</v>
      </c>
      <c r="D38" s="510">
        <v>2.779</v>
      </c>
      <c r="E38" s="510">
        <v>2.572</v>
      </c>
      <c r="F38" s="352"/>
      <c r="G38" s="83" t="s">
        <v>88</v>
      </c>
      <c r="H38" s="338" t="s">
        <v>209</v>
      </c>
      <c r="I38" s="85" t="s">
        <v>23</v>
      </c>
      <c r="J38" s="365">
        <f t="shared" si="1"/>
        <v>0</v>
      </c>
      <c r="K38" s="83" t="s">
        <v>88</v>
      </c>
      <c r="L38" s="338" t="s">
        <v>209</v>
      </c>
      <c r="M38" s="85" t="s">
        <v>23</v>
      </c>
      <c r="N38" s="158"/>
      <c r="O38" s="21" t="e">
        <f>#REF!-#REF!</f>
        <v>#REF!</v>
      </c>
      <c r="P38" s="252"/>
      <c r="Q38" s="252"/>
      <c r="R38" s="252"/>
      <c r="S38" s="252"/>
      <c r="T38" s="252"/>
      <c r="U38" s="252"/>
      <c r="V38" s="252"/>
      <c r="W38" s="83" t="s">
        <v>88</v>
      </c>
      <c r="X38" s="338" t="s">
        <v>209</v>
      </c>
      <c r="Y38" s="85" t="s">
        <v>23</v>
      </c>
      <c r="Z38" s="158"/>
      <c r="AA38" s="83" t="s">
        <v>88</v>
      </c>
      <c r="AB38" s="338" t="s">
        <v>209</v>
      </c>
      <c r="AC38" s="85" t="s">
        <v>23</v>
      </c>
      <c r="AD38" s="158"/>
      <c r="AE38" s="83" t="s">
        <v>88</v>
      </c>
      <c r="AF38" s="338" t="s">
        <v>209</v>
      </c>
      <c r="AG38" s="85" t="s">
        <v>23</v>
      </c>
      <c r="AH38" s="158"/>
      <c r="AI38" s="83" t="s">
        <v>88</v>
      </c>
      <c r="AJ38" s="338" t="s">
        <v>209</v>
      </c>
      <c r="AK38" s="85" t="s">
        <v>23</v>
      </c>
      <c r="AL38" s="158"/>
      <c r="AM38" s="83" t="s">
        <v>88</v>
      </c>
      <c r="AN38" s="338" t="s">
        <v>209</v>
      </c>
      <c r="AO38" s="85" t="s">
        <v>23</v>
      </c>
      <c r="AP38" s="206"/>
      <c r="AQ38" s="83" t="s">
        <v>88</v>
      </c>
      <c r="AR38" s="338" t="s">
        <v>209</v>
      </c>
      <c r="AS38" s="85" t="s">
        <v>23</v>
      </c>
      <c r="AT38" s="158"/>
      <c r="AU38" s="83" t="s">
        <v>88</v>
      </c>
      <c r="AV38" s="338" t="s">
        <v>209</v>
      </c>
      <c r="AW38" s="85" t="s">
        <v>23</v>
      </c>
      <c r="AX38" s="158"/>
      <c r="AY38" s="83" t="s">
        <v>88</v>
      </c>
      <c r="AZ38" s="338" t="s">
        <v>209</v>
      </c>
      <c r="BA38" s="85" t="s">
        <v>23</v>
      </c>
      <c r="BB38" s="158"/>
      <c r="BC38" s="83" t="s">
        <v>88</v>
      </c>
      <c r="BD38" s="338" t="s">
        <v>209</v>
      </c>
      <c r="BE38" s="85" t="s">
        <v>23</v>
      </c>
      <c r="BF38" s="158"/>
      <c r="BG38" s="83" t="s">
        <v>88</v>
      </c>
      <c r="BH38" s="338" t="s">
        <v>209</v>
      </c>
      <c r="BI38" s="85" t="s">
        <v>23</v>
      </c>
      <c r="BJ38" s="158"/>
    </row>
    <row r="39" spans="1:62" ht="15.75" customHeight="1">
      <c r="A39" s="78"/>
      <c r="B39" s="338" t="s">
        <v>24</v>
      </c>
      <c r="C39" s="338" t="s">
        <v>13</v>
      </c>
      <c r="D39" s="509">
        <v>475</v>
      </c>
      <c r="E39" s="509">
        <v>475</v>
      </c>
      <c r="F39" s="352"/>
      <c r="G39" s="83" t="s">
        <v>164</v>
      </c>
      <c r="H39" s="338" t="s">
        <v>24</v>
      </c>
      <c r="I39" s="85" t="s">
        <v>13</v>
      </c>
      <c r="J39" s="365">
        <f t="shared" si="1"/>
        <v>0.194</v>
      </c>
      <c r="K39" s="83" t="s">
        <v>164</v>
      </c>
      <c r="L39" s="338" t="s">
        <v>24</v>
      </c>
      <c r="M39" s="85" t="s">
        <v>13</v>
      </c>
      <c r="N39" s="158"/>
      <c r="O39" s="21" t="e">
        <f t="shared" si="0"/>
        <v>#REF!</v>
      </c>
      <c r="P39" s="252"/>
      <c r="Q39" s="252"/>
      <c r="R39" s="252"/>
      <c r="S39" s="252"/>
      <c r="T39" s="252"/>
      <c r="U39" s="252"/>
      <c r="V39" s="252"/>
      <c r="W39" s="83" t="s">
        <v>164</v>
      </c>
      <c r="X39" s="338" t="s">
        <v>24</v>
      </c>
      <c r="Y39" s="85" t="s">
        <v>13</v>
      </c>
      <c r="Z39" s="158">
        <v>0.104</v>
      </c>
      <c r="AA39" s="83" t="s">
        <v>164</v>
      </c>
      <c r="AB39" s="338" t="s">
        <v>24</v>
      </c>
      <c r="AC39" s="85" t="s">
        <v>13</v>
      </c>
      <c r="AD39" s="158"/>
      <c r="AE39" s="83" t="s">
        <v>164</v>
      </c>
      <c r="AF39" s="338" t="s">
        <v>24</v>
      </c>
      <c r="AG39" s="85" t="s">
        <v>13</v>
      </c>
      <c r="AH39" s="158"/>
      <c r="AI39" s="83" t="s">
        <v>164</v>
      </c>
      <c r="AJ39" s="338" t="s">
        <v>24</v>
      </c>
      <c r="AK39" s="85" t="s">
        <v>13</v>
      </c>
      <c r="AL39" s="158"/>
      <c r="AM39" s="83" t="s">
        <v>164</v>
      </c>
      <c r="AN39" s="338" t="s">
        <v>24</v>
      </c>
      <c r="AO39" s="85" t="s">
        <v>13</v>
      </c>
      <c r="AP39" s="206">
        <v>0.03</v>
      </c>
      <c r="AQ39" s="83" t="s">
        <v>164</v>
      </c>
      <c r="AR39" s="338" t="s">
        <v>24</v>
      </c>
      <c r="AS39" s="85" t="s">
        <v>13</v>
      </c>
      <c r="AT39" s="158"/>
      <c r="AU39" s="83" t="s">
        <v>164</v>
      </c>
      <c r="AV39" s="338" t="s">
        <v>24</v>
      </c>
      <c r="AW39" s="85" t="s">
        <v>13</v>
      </c>
      <c r="AX39" s="206">
        <v>0.03</v>
      </c>
      <c r="AY39" s="83" t="s">
        <v>164</v>
      </c>
      <c r="AZ39" s="338" t="s">
        <v>24</v>
      </c>
      <c r="BA39" s="85" t="s">
        <v>13</v>
      </c>
      <c r="BB39" s="158"/>
      <c r="BC39" s="83" t="s">
        <v>164</v>
      </c>
      <c r="BD39" s="338" t="s">
        <v>24</v>
      </c>
      <c r="BE39" s="85" t="s">
        <v>13</v>
      </c>
      <c r="BF39" s="158"/>
      <c r="BG39" s="83" t="s">
        <v>164</v>
      </c>
      <c r="BH39" s="338" t="s">
        <v>24</v>
      </c>
      <c r="BI39" s="85" t="s">
        <v>13</v>
      </c>
      <c r="BJ39" s="206">
        <v>0.03</v>
      </c>
    </row>
    <row r="40" spans="1:62" ht="15.75" customHeight="1">
      <c r="A40" s="516"/>
      <c r="B40" s="504" t="s">
        <v>327</v>
      </c>
      <c r="C40" s="371" t="s">
        <v>13</v>
      </c>
      <c r="D40" s="132">
        <v>491</v>
      </c>
      <c r="E40" s="132">
        <v>491</v>
      </c>
      <c r="F40" s="352"/>
      <c r="G40" s="83" t="s">
        <v>165</v>
      </c>
      <c r="H40" s="338" t="s">
        <v>327</v>
      </c>
      <c r="I40" s="339" t="s">
        <v>13</v>
      </c>
      <c r="J40" s="365">
        <f t="shared" si="1"/>
        <v>0.593</v>
      </c>
      <c r="K40" s="83" t="s">
        <v>165</v>
      </c>
      <c r="L40" s="338" t="s">
        <v>327</v>
      </c>
      <c r="M40" s="339" t="s">
        <v>13</v>
      </c>
      <c r="N40" s="158"/>
      <c r="O40" s="21"/>
      <c r="P40" s="252"/>
      <c r="Q40" s="252"/>
      <c r="R40" s="252"/>
      <c r="S40" s="252"/>
      <c r="T40" s="252"/>
      <c r="U40" s="252"/>
      <c r="V40" s="252"/>
      <c r="W40" s="83" t="s">
        <v>165</v>
      </c>
      <c r="X40" s="338" t="s">
        <v>327</v>
      </c>
      <c r="Y40" s="339" t="s">
        <v>13</v>
      </c>
      <c r="Z40" s="158"/>
      <c r="AA40" s="83" t="s">
        <v>165</v>
      </c>
      <c r="AB40" s="338" t="s">
        <v>327</v>
      </c>
      <c r="AC40" s="339" t="s">
        <v>13</v>
      </c>
      <c r="AD40" s="206">
        <f>0.153</f>
        <v>0.153</v>
      </c>
      <c r="AE40" s="83" t="s">
        <v>165</v>
      </c>
      <c r="AF40" s="338" t="s">
        <v>327</v>
      </c>
      <c r="AG40" s="339" t="s">
        <v>13</v>
      </c>
      <c r="AH40" s="206">
        <v>0.2</v>
      </c>
      <c r="AI40" s="83" t="s">
        <v>165</v>
      </c>
      <c r="AJ40" s="338" t="s">
        <v>327</v>
      </c>
      <c r="AK40" s="339" t="s">
        <v>13</v>
      </c>
      <c r="AL40" s="206">
        <v>0.04</v>
      </c>
      <c r="AM40" s="83" t="s">
        <v>165</v>
      </c>
      <c r="AN40" s="338" t="s">
        <v>327</v>
      </c>
      <c r="AO40" s="339" t="s">
        <v>13</v>
      </c>
      <c r="AP40" s="206"/>
      <c r="AQ40" s="83" t="s">
        <v>165</v>
      </c>
      <c r="AR40" s="338" t="s">
        <v>327</v>
      </c>
      <c r="AS40" s="339" t="s">
        <v>13</v>
      </c>
      <c r="AT40" s="158"/>
      <c r="AU40" s="83" t="s">
        <v>165</v>
      </c>
      <c r="AV40" s="338" t="s">
        <v>327</v>
      </c>
      <c r="AW40" s="339" t="s">
        <v>13</v>
      </c>
      <c r="AX40" s="158"/>
      <c r="AY40" s="83" t="s">
        <v>165</v>
      </c>
      <c r="AZ40" s="338" t="s">
        <v>327</v>
      </c>
      <c r="BA40" s="339" t="s">
        <v>13</v>
      </c>
      <c r="BB40" s="206">
        <f>0.2</f>
        <v>0.2</v>
      </c>
      <c r="BC40" s="83" t="s">
        <v>165</v>
      </c>
      <c r="BD40" s="338" t="s">
        <v>327</v>
      </c>
      <c r="BE40" s="339" t="s">
        <v>13</v>
      </c>
      <c r="BF40" s="158"/>
      <c r="BG40" s="83" t="s">
        <v>165</v>
      </c>
      <c r="BH40" s="338" t="s">
        <v>327</v>
      </c>
      <c r="BI40" s="339" t="s">
        <v>13</v>
      </c>
      <c r="BJ40" s="158"/>
    </row>
    <row r="41" spans="1:62" ht="15.75" customHeight="1">
      <c r="A41" s="78"/>
      <c r="B41" s="338" t="s">
        <v>328</v>
      </c>
      <c r="C41" s="338" t="s">
        <v>13</v>
      </c>
      <c r="D41" s="509">
        <v>37</v>
      </c>
      <c r="E41" s="509">
        <v>37</v>
      </c>
      <c r="F41" s="352"/>
      <c r="G41" s="83" t="s">
        <v>166</v>
      </c>
      <c r="H41" s="338" t="s">
        <v>328</v>
      </c>
      <c r="I41" s="339" t="s">
        <v>13</v>
      </c>
      <c r="J41" s="365">
        <f t="shared" si="1"/>
        <v>1.1199999999999999</v>
      </c>
      <c r="K41" s="83" t="s">
        <v>166</v>
      </c>
      <c r="L41" s="338" t="s">
        <v>328</v>
      </c>
      <c r="M41" s="339" t="s">
        <v>13</v>
      </c>
      <c r="N41" s="158"/>
      <c r="O41" s="21"/>
      <c r="P41" s="252"/>
      <c r="Q41" s="252"/>
      <c r="R41" s="252"/>
      <c r="S41" s="252"/>
      <c r="T41" s="252"/>
      <c r="U41" s="252"/>
      <c r="V41" s="252"/>
      <c r="W41" s="83" t="s">
        <v>166</v>
      </c>
      <c r="X41" s="338" t="s">
        <v>328</v>
      </c>
      <c r="Y41" s="339" t="s">
        <v>13</v>
      </c>
      <c r="Z41" s="158"/>
      <c r="AA41" s="83" t="s">
        <v>166</v>
      </c>
      <c r="AB41" s="338" t="s">
        <v>328</v>
      </c>
      <c r="AC41" s="339" t="s">
        <v>13</v>
      </c>
      <c r="AD41" s="206">
        <f>0.1+0.4</f>
        <v>0.5</v>
      </c>
      <c r="AE41" s="83" t="s">
        <v>166</v>
      </c>
      <c r="AF41" s="338" t="s">
        <v>328</v>
      </c>
      <c r="AG41" s="339" t="s">
        <v>13</v>
      </c>
      <c r="AH41" s="206">
        <v>0.2</v>
      </c>
      <c r="AI41" s="83" t="s">
        <v>166</v>
      </c>
      <c r="AJ41" s="338" t="s">
        <v>328</v>
      </c>
      <c r="AK41" s="339" t="s">
        <v>13</v>
      </c>
      <c r="AL41" s="206">
        <v>0.04</v>
      </c>
      <c r="AM41" s="83" t="s">
        <v>166</v>
      </c>
      <c r="AN41" s="338" t="s">
        <v>328</v>
      </c>
      <c r="AO41" s="339" t="s">
        <v>13</v>
      </c>
      <c r="AP41" s="206">
        <v>0.18</v>
      </c>
      <c r="AQ41" s="83" t="s">
        <v>166</v>
      </c>
      <c r="AR41" s="338" t="s">
        <v>328</v>
      </c>
      <c r="AS41" s="339" t="s">
        <v>13</v>
      </c>
      <c r="AT41" s="158"/>
      <c r="AU41" s="83" t="s">
        <v>166</v>
      </c>
      <c r="AV41" s="338" t="s">
        <v>328</v>
      </c>
      <c r="AW41" s="339" t="s">
        <v>13</v>
      </c>
      <c r="AX41" s="158"/>
      <c r="AY41" s="83" t="s">
        <v>166</v>
      </c>
      <c r="AZ41" s="338" t="s">
        <v>328</v>
      </c>
      <c r="BA41" s="339" t="s">
        <v>13</v>
      </c>
      <c r="BB41" s="206">
        <v>0.2</v>
      </c>
      <c r="BC41" s="83" t="s">
        <v>166</v>
      </c>
      <c r="BD41" s="338" t="s">
        <v>328</v>
      </c>
      <c r="BE41" s="339" t="s">
        <v>13</v>
      </c>
      <c r="BF41" s="158"/>
      <c r="BG41" s="83" t="s">
        <v>166</v>
      </c>
      <c r="BH41" s="338" t="s">
        <v>328</v>
      </c>
      <c r="BI41" s="339" t="s">
        <v>13</v>
      </c>
      <c r="BJ41" s="158"/>
    </row>
    <row r="42" spans="1:62" ht="15" customHeight="1">
      <c r="A42" s="140"/>
      <c r="B42" s="368" t="s">
        <v>342</v>
      </c>
      <c r="C42" s="368" t="s">
        <v>13</v>
      </c>
      <c r="D42" s="515">
        <v>673</v>
      </c>
      <c r="E42" s="515">
        <v>673</v>
      </c>
      <c r="F42" s="352"/>
      <c r="G42" s="141" t="s">
        <v>167</v>
      </c>
      <c r="H42" s="368" t="s">
        <v>329</v>
      </c>
      <c r="I42" s="363" t="s">
        <v>13</v>
      </c>
      <c r="J42" s="365">
        <f t="shared" si="1"/>
        <v>0.6799999999999999</v>
      </c>
      <c r="K42" s="141" t="s">
        <v>167</v>
      </c>
      <c r="L42" s="368" t="s">
        <v>329</v>
      </c>
      <c r="M42" s="363" t="s">
        <v>13</v>
      </c>
      <c r="N42" s="158"/>
      <c r="O42" s="21"/>
      <c r="P42" s="252"/>
      <c r="Q42" s="252"/>
      <c r="R42" s="252"/>
      <c r="S42" s="252"/>
      <c r="T42" s="252"/>
      <c r="U42" s="252"/>
      <c r="V42" s="252"/>
      <c r="W42" s="141" t="s">
        <v>167</v>
      </c>
      <c r="X42" s="368" t="s">
        <v>329</v>
      </c>
      <c r="Y42" s="363" t="s">
        <v>13</v>
      </c>
      <c r="Z42" s="158"/>
      <c r="AA42" s="141" t="s">
        <v>167</v>
      </c>
      <c r="AB42" s="368" t="s">
        <v>329</v>
      </c>
      <c r="AC42" s="363" t="s">
        <v>13</v>
      </c>
      <c r="AD42" s="206">
        <v>0.18</v>
      </c>
      <c r="AE42" s="141" t="s">
        <v>167</v>
      </c>
      <c r="AF42" s="368" t="s">
        <v>329</v>
      </c>
      <c r="AG42" s="363" t="s">
        <v>13</v>
      </c>
      <c r="AH42" s="206">
        <v>0.2</v>
      </c>
      <c r="AI42" s="141" t="s">
        <v>167</v>
      </c>
      <c r="AJ42" s="368" t="s">
        <v>329</v>
      </c>
      <c r="AK42" s="363" t="s">
        <v>13</v>
      </c>
      <c r="AL42" s="158"/>
      <c r="AM42" s="141" t="s">
        <v>167</v>
      </c>
      <c r="AN42" s="368" t="s">
        <v>329</v>
      </c>
      <c r="AO42" s="363" t="s">
        <v>13</v>
      </c>
      <c r="AP42" s="206"/>
      <c r="AQ42" s="141" t="s">
        <v>167</v>
      </c>
      <c r="AR42" s="368" t="s">
        <v>329</v>
      </c>
      <c r="AS42" s="363" t="s">
        <v>13</v>
      </c>
      <c r="AT42" s="158"/>
      <c r="AU42" s="141" t="s">
        <v>167</v>
      </c>
      <c r="AV42" s="368" t="s">
        <v>329</v>
      </c>
      <c r="AW42" s="363" t="s">
        <v>13</v>
      </c>
      <c r="AX42" s="158"/>
      <c r="AY42" s="141" t="s">
        <v>167</v>
      </c>
      <c r="AZ42" s="368" t="s">
        <v>329</v>
      </c>
      <c r="BA42" s="363" t="s">
        <v>13</v>
      </c>
      <c r="BB42" s="206">
        <v>0.3</v>
      </c>
      <c r="BC42" s="141" t="s">
        <v>167</v>
      </c>
      <c r="BD42" s="368" t="s">
        <v>329</v>
      </c>
      <c r="BE42" s="363" t="s">
        <v>13</v>
      </c>
      <c r="BF42" s="158"/>
      <c r="BG42" s="141" t="s">
        <v>167</v>
      </c>
      <c r="BH42" s="368" t="s">
        <v>329</v>
      </c>
      <c r="BI42" s="363" t="s">
        <v>13</v>
      </c>
      <c r="BJ42" s="158"/>
    </row>
    <row r="43" spans="1:62" ht="15.75">
      <c r="A43" s="78"/>
      <c r="B43" s="338" t="s">
        <v>74</v>
      </c>
      <c r="C43" s="338" t="s">
        <v>13</v>
      </c>
      <c r="D43" s="515">
        <v>785</v>
      </c>
      <c r="E43" s="515">
        <v>785</v>
      </c>
      <c r="F43" s="352"/>
      <c r="G43" s="83" t="s">
        <v>168</v>
      </c>
      <c r="H43" s="338" t="s">
        <v>74</v>
      </c>
      <c r="I43" s="85" t="s">
        <v>13</v>
      </c>
      <c r="J43" s="365">
        <f t="shared" si="1"/>
        <v>0.08</v>
      </c>
      <c r="K43" s="83" t="s">
        <v>168</v>
      </c>
      <c r="L43" s="338" t="s">
        <v>74</v>
      </c>
      <c r="M43" s="85" t="s">
        <v>13</v>
      </c>
      <c r="N43" s="158"/>
      <c r="O43" s="21" t="e">
        <f>O39-P39</f>
        <v>#REF!</v>
      </c>
      <c r="P43" s="252"/>
      <c r="Q43" s="252"/>
      <c r="R43" s="252"/>
      <c r="S43" s="252"/>
      <c r="T43" s="252"/>
      <c r="U43" s="252"/>
      <c r="V43" s="252"/>
      <c r="W43" s="83" t="s">
        <v>168</v>
      </c>
      <c r="X43" s="338" t="s">
        <v>74</v>
      </c>
      <c r="Y43" s="85" t="s">
        <v>13</v>
      </c>
      <c r="Z43" s="158"/>
      <c r="AA43" s="83" t="s">
        <v>168</v>
      </c>
      <c r="AB43" s="338" t="s">
        <v>74</v>
      </c>
      <c r="AC43" s="85" t="s">
        <v>13</v>
      </c>
      <c r="AD43" s="158"/>
      <c r="AE43" s="83" t="s">
        <v>168</v>
      </c>
      <c r="AF43" s="338" t="s">
        <v>74</v>
      </c>
      <c r="AG43" s="85" t="s">
        <v>13</v>
      </c>
      <c r="AH43" s="158"/>
      <c r="AI43" s="83" t="s">
        <v>168</v>
      </c>
      <c r="AJ43" s="338" t="s">
        <v>74</v>
      </c>
      <c r="AK43" s="85" t="s">
        <v>13</v>
      </c>
      <c r="AL43" s="158"/>
      <c r="AM43" s="83" t="s">
        <v>168</v>
      </c>
      <c r="AN43" s="338" t="s">
        <v>74</v>
      </c>
      <c r="AO43" s="85" t="s">
        <v>13</v>
      </c>
      <c r="AP43" s="206">
        <v>0.04</v>
      </c>
      <c r="AQ43" s="83" t="s">
        <v>168</v>
      </c>
      <c r="AR43" s="338" t="s">
        <v>74</v>
      </c>
      <c r="AS43" s="85" t="s">
        <v>13</v>
      </c>
      <c r="AT43" s="158"/>
      <c r="AU43" s="83" t="s">
        <v>168</v>
      </c>
      <c r="AV43" s="338" t="s">
        <v>74</v>
      </c>
      <c r="AW43" s="85" t="s">
        <v>13</v>
      </c>
      <c r="AX43" s="206">
        <v>0.04</v>
      </c>
      <c r="AY43" s="83" t="s">
        <v>168</v>
      </c>
      <c r="AZ43" s="338" t="s">
        <v>74</v>
      </c>
      <c r="BA43" s="85" t="s">
        <v>13</v>
      </c>
      <c r="BB43" s="158"/>
      <c r="BC43" s="83" t="s">
        <v>168</v>
      </c>
      <c r="BD43" s="338" t="s">
        <v>74</v>
      </c>
      <c r="BE43" s="85" t="s">
        <v>13</v>
      </c>
      <c r="BF43" s="158"/>
      <c r="BG43" s="83" t="s">
        <v>168</v>
      </c>
      <c r="BH43" s="338" t="s">
        <v>74</v>
      </c>
      <c r="BI43" s="85" t="s">
        <v>13</v>
      </c>
      <c r="BJ43" s="158"/>
    </row>
    <row r="44" spans="1:62" s="361" customFormat="1" ht="17.25" customHeight="1">
      <c r="A44" s="140"/>
      <c r="B44" s="110" t="s">
        <v>331</v>
      </c>
      <c r="C44" s="111" t="s">
        <v>10</v>
      </c>
      <c r="D44" s="510">
        <v>0.814</v>
      </c>
      <c r="E44" s="510">
        <v>0.814</v>
      </c>
      <c r="F44" s="364"/>
      <c r="G44" s="83" t="s">
        <v>169</v>
      </c>
      <c r="H44" s="110" t="s">
        <v>331</v>
      </c>
      <c r="I44" s="111" t="s">
        <v>10</v>
      </c>
      <c r="J44" s="534">
        <f t="shared" si="1"/>
        <v>43</v>
      </c>
      <c r="K44" s="83" t="s">
        <v>169</v>
      </c>
      <c r="L44" s="110" t="s">
        <v>331</v>
      </c>
      <c r="M44" s="111" t="s">
        <v>10</v>
      </c>
      <c r="N44" s="249">
        <v>2</v>
      </c>
      <c r="O44" s="21" t="e">
        <f t="shared" si="0"/>
        <v>#REF!</v>
      </c>
      <c r="P44" s="250"/>
      <c r="Q44" s="250"/>
      <c r="R44" s="250"/>
      <c r="S44" s="250"/>
      <c r="T44" s="250"/>
      <c r="U44" s="250"/>
      <c r="V44" s="250"/>
      <c r="W44" s="83" t="s">
        <v>169</v>
      </c>
      <c r="X44" s="110" t="s">
        <v>331</v>
      </c>
      <c r="Y44" s="111" t="s">
        <v>10</v>
      </c>
      <c r="Z44" s="249">
        <v>5</v>
      </c>
      <c r="AA44" s="83" t="s">
        <v>169</v>
      </c>
      <c r="AB44" s="110" t="s">
        <v>331</v>
      </c>
      <c r="AC44" s="111" t="s">
        <v>10</v>
      </c>
      <c r="AD44" s="249"/>
      <c r="AE44" s="83" t="s">
        <v>169</v>
      </c>
      <c r="AF44" s="110" t="s">
        <v>331</v>
      </c>
      <c r="AG44" s="111" t="s">
        <v>10</v>
      </c>
      <c r="AH44" s="249"/>
      <c r="AI44" s="83" t="s">
        <v>169</v>
      </c>
      <c r="AJ44" s="110" t="s">
        <v>331</v>
      </c>
      <c r="AK44" s="111" t="s">
        <v>10</v>
      </c>
      <c r="AL44" s="249"/>
      <c r="AM44" s="83" t="s">
        <v>169</v>
      </c>
      <c r="AN44" s="110" t="s">
        <v>331</v>
      </c>
      <c r="AO44" s="111" t="s">
        <v>10</v>
      </c>
      <c r="AP44" s="373"/>
      <c r="AQ44" s="83" t="s">
        <v>169</v>
      </c>
      <c r="AR44" s="110" t="s">
        <v>331</v>
      </c>
      <c r="AS44" s="111" t="s">
        <v>10</v>
      </c>
      <c r="AT44" s="249">
        <v>20</v>
      </c>
      <c r="AU44" s="83" t="s">
        <v>169</v>
      </c>
      <c r="AV44" s="110" t="s">
        <v>331</v>
      </c>
      <c r="AW44" s="111" t="s">
        <v>10</v>
      </c>
      <c r="AX44" s="249"/>
      <c r="AY44" s="83" t="s">
        <v>169</v>
      </c>
      <c r="AZ44" s="110" t="s">
        <v>331</v>
      </c>
      <c r="BA44" s="111" t="s">
        <v>10</v>
      </c>
      <c r="BB44" s="249"/>
      <c r="BC44" s="83" t="s">
        <v>169</v>
      </c>
      <c r="BD44" s="110" t="s">
        <v>331</v>
      </c>
      <c r="BE44" s="111" t="s">
        <v>10</v>
      </c>
      <c r="BF44" s="249">
        <v>1</v>
      </c>
      <c r="BG44" s="83" t="s">
        <v>169</v>
      </c>
      <c r="BH44" s="110" t="s">
        <v>331</v>
      </c>
      <c r="BI44" s="111" t="s">
        <v>10</v>
      </c>
      <c r="BJ44" s="249">
        <v>15</v>
      </c>
    </row>
    <row r="45" spans="1:62" ht="15.75" hidden="1">
      <c r="A45" s="78"/>
      <c r="B45" s="84" t="s">
        <v>330</v>
      </c>
      <c r="C45" s="85" t="s">
        <v>10</v>
      </c>
      <c r="D45" s="510">
        <v>0.184</v>
      </c>
      <c r="E45" s="510">
        <v>0.184</v>
      </c>
      <c r="F45" s="352"/>
      <c r="G45" s="83" t="s">
        <v>170</v>
      </c>
      <c r="H45" s="84" t="s">
        <v>330</v>
      </c>
      <c r="I45" s="85" t="s">
        <v>10</v>
      </c>
      <c r="J45" s="534">
        <f t="shared" si="1"/>
        <v>0</v>
      </c>
      <c r="K45" s="83" t="s">
        <v>170</v>
      </c>
      <c r="L45" s="84" t="s">
        <v>330</v>
      </c>
      <c r="M45" s="85" t="s">
        <v>10</v>
      </c>
      <c r="N45" s="158"/>
      <c r="O45" s="21" t="e">
        <f t="shared" si="0"/>
        <v>#REF!</v>
      </c>
      <c r="P45" s="252"/>
      <c r="Q45" s="252"/>
      <c r="R45" s="252"/>
      <c r="S45" s="252"/>
      <c r="T45" s="252"/>
      <c r="U45" s="252"/>
      <c r="V45" s="252"/>
      <c r="W45" s="83" t="s">
        <v>170</v>
      </c>
      <c r="X45" s="84" t="s">
        <v>330</v>
      </c>
      <c r="Y45" s="85" t="s">
        <v>10</v>
      </c>
      <c r="Z45" s="158"/>
      <c r="AA45" s="83" t="s">
        <v>170</v>
      </c>
      <c r="AB45" s="84" t="s">
        <v>330</v>
      </c>
      <c r="AC45" s="85" t="s">
        <v>10</v>
      </c>
      <c r="AD45" s="158"/>
      <c r="AE45" s="83" t="s">
        <v>170</v>
      </c>
      <c r="AF45" s="84" t="s">
        <v>330</v>
      </c>
      <c r="AG45" s="85" t="s">
        <v>10</v>
      </c>
      <c r="AH45" s="158"/>
      <c r="AI45" s="83" t="s">
        <v>170</v>
      </c>
      <c r="AJ45" s="84" t="s">
        <v>330</v>
      </c>
      <c r="AK45" s="85" t="s">
        <v>10</v>
      </c>
      <c r="AL45" s="158"/>
      <c r="AM45" s="83" t="s">
        <v>170</v>
      </c>
      <c r="AN45" s="84" t="s">
        <v>330</v>
      </c>
      <c r="AO45" s="85" t="s">
        <v>10</v>
      </c>
      <c r="AP45" s="206"/>
      <c r="AQ45" s="83" t="s">
        <v>170</v>
      </c>
      <c r="AR45" s="84" t="s">
        <v>330</v>
      </c>
      <c r="AS45" s="85" t="s">
        <v>10</v>
      </c>
      <c r="AT45" s="158"/>
      <c r="AU45" s="83" t="s">
        <v>170</v>
      </c>
      <c r="AV45" s="84" t="s">
        <v>330</v>
      </c>
      <c r="AW45" s="85" t="s">
        <v>10</v>
      </c>
      <c r="AX45" s="158"/>
      <c r="AY45" s="83" t="s">
        <v>170</v>
      </c>
      <c r="AZ45" s="84" t="s">
        <v>330</v>
      </c>
      <c r="BA45" s="85" t="s">
        <v>10</v>
      </c>
      <c r="BB45" s="158"/>
      <c r="BC45" s="83" t="s">
        <v>170</v>
      </c>
      <c r="BD45" s="84" t="s">
        <v>330</v>
      </c>
      <c r="BE45" s="85" t="s">
        <v>10</v>
      </c>
      <c r="BF45" s="158"/>
      <c r="BG45" s="83" t="s">
        <v>170</v>
      </c>
      <c r="BH45" s="84" t="s">
        <v>330</v>
      </c>
      <c r="BI45" s="85" t="s">
        <v>10</v>
      </c>
      <c r="BJ45" s="158"/>
    </row>
    <row r="46" spans="1:62" ht="15.75">
      <c r="A46" s="78"/>
      <c r="B46" s="84" t="s">
        <v>340</v>
      </c>
      <c r="C46" s="85" t="s">
        <v>10</v>
      </c>
      <c r="D46" s="510">
        <v>0.951</v>
      </c>
      <c r="E46" s="510">
        <v>0.951</v>
      </c>
      <c r="F46" s="352"/>
      <c r="G46" s="83" t="s">
        <v>171</v>
      </c>
      <c r="H46" s="84" t="s">
        <v>340</v>
      </c>
      <c r="I46" s="85" t="s">
        <v>10</v>
      </c>
      <c r="J46" s="534">
        <f t="shared" si="1"/>
        <v>65</v>
      </c>
      <c r="K46" s="83" t="s">
        <v>171</v>
      </c>
      <c r="L46" s="84" t="s">
        <v>340</v>
      </c>
      <c r="M46" s="85" t="s">
        <v>10</v>
      </c>
      <c r="N46" s="158"/>
      <c r="O46" s="21" t="e">
        <f t="shared" si="0"/>
        <v>#REF!</v>
      </c>
      <c r="P46" s="252"/>
      <c r="Q46" s="252"/>
      <c r="R46" s="252"/>
      <c r="S46" s="252"/>
      <c r="T46" s="252"/>
      <c r="U46" s="252"/>
      <c r="V46" s="252"/>
      <c r="W46" s="83" t="s">
        <v>171</v>
      </c>
      <c r="X46" s="84" t="s">
        <v>340</v>
      </c>
      <c r="Y46" s="85" t="s">
        <v>10</v>
      </c>
      <c r="Z46" s="158">
        <v>15</v>
      </c>
      <c r="AA46" s="83" t="s">
        <v>171</v>
      </c>
      <c r="AB46" s="84" t="s">
        <v>340</v>
      </c>
      <c r="AC46" s="85" t="s">
        <v>10</v>
      </c>
      <c r="AD46" s="158"/>
      <c r="AE46" s="83" t="s">
        <v>171</v>
      </c>
      <c r="AF46" s="84" t="s">
        <v>340</v>
      </c>
      <c r="AG46" s="85" t="s">
        <v>10</v>
      </c>
      <c r="AH46" s="158"/>
      <c r="AI46" s="83" t="s">
        <v>171</v>
      </c>
      <c r="AJ46" s="84" t="s">
        <v>340</v>
      </c>
      <c r="AK46" s="85" t="s">
        <v>10</v>
      </c>
      <c r="AL46" s="158"/>
      <c r="AM46" s="83" t="s">
        <v>171</v>
      </c>
      <c r="AN46" s="84" t="s">
        <v>340</v>
      </c>
      <c r="AO46" s="85" t="s">
        <v>10</v>
      </c>
      <c r="AP46" s="206"/>
      <c r="AQ46" s="83" t="s">
        <v>171</v>
      </c>
      <c r="AR46" s="84" t="s">
        <v>340</v>
      </c>
      <c r="AS46" s="85" t="s">
        <v>10</v>
      </c>
      <c r="AT46" s="158"/>
      <c r="AU46" s="83" t="s">
        <v>171</v>
      </c>
      <c r="AV46" s="84" t="s">
        <v>340</v>
      </c>
      <c r="AW46" s="85" t="s">
        <v>10</v>
      </c>
      <c r="AX46" s="158"/>
      <c r="AY46" s="83" t="s">
        <v>171</v>
      </c>
      <c r="AZ46" s="84" t="s">
        <v>340</v>
      </c>
      <c r="BA46" s="85" t="s">
        <v>10</v>
      </c>
      <c r="BB46" s="158"/>
      <c r="BC46" s="83" t="s">
        <v>171</v>
      </c>
      <c r="BD46" s="84" t="s">
        <v>340</v>
      </c>
      <c r="BE46" s="85" t="s">
        <v>10</v>
      </c>
      <c r="BF46" s="158"/>
      <c r="BG46" s="83" t="s">
        <v>171</v>
      </c>
      <c r="BH46" s="84" t="s">
        <v>340</v>
      </c>
      <c r="BI46" s="85" t="s">
        <v>10</v>
      </c>
      <c r="BJ46" s="158">
        <v>50</v>
      </c>
    </row>
    <row r="47" spans="1:62" ht="15.75">
      <c r="A47" s="78"/>
      <c r="B47" s="84" t="s">
        <v>332</v>
      </c>
      <c r="C47" s="85" t="s">
        <v>10</v>
      </c>
      <c r="D47" s="510">
        <v>1.182</v>
      </c>
      <c r="E47" s="510">
        <v>1.182</v>
      </c>
      <c r="F47" s="352"/>
      <c r="G47" s="83" t="s">
        <v>172</v>
      </c>
      <c r="H47" s="84" t="s">
        <v>332</v>
      </c>
      <c r="I47" s="85" t="s">
        <v>10</v>
      </c>
      <c r="J47" s="534">
        <f t="shared" si="1"/>
        <v>43</v>
      </c>
      <c r="K47" s="83" t="s">
        <v>172</v>
      </c>
      <c r="L47" s="84" t="s">
        <v>332</v>
      </c>
      <c r="M47" s="85" t="s">
        <v>10</v>
      </c>
      <c r="N47" s="158">
        <v>1</v>
      </c>
      <c r="O47" s="21" t="e">
        <f t="shared" si="0"/>
        <v>#REF!</v>
      </c>
      <c r="P47" s="252"/>
      <c r="Q47" s="252"/>
      <c r="R47" s="252"/>
      <c r="S47" s="252"/>
      <c r="T47" s="252"/>
      <c r="U47" s="252"/>
      <c r="V47" s="252"/>
      <c r="W47" s="83" t="s">
        <v>172</v>
      </c>
      <c r="X47" s="84" t="s">
        <v>332</v>
      </c>
      <c r="Y47" s="85" t="s">
        <v>10</v>
      </c>
      <c r="Z47" s="158">
        <v>4</v>
      </c>
      <c r="AA47" s="83" t="s">
        <v>172</v>
      </c>
      <c r="AB47" s="84" t="s">
        <v>332</v>
      </c>
      <c r="AC47" s="85" t="s">
        <v>10</v>
      </c>
      <c r="AD47" s="158">
        <v>2</v>
      </c>
      <c r="AE47" s="83" t="s">
        <v>172</v>
      </c>
      <c r="AF47" s="84" t="s">
        <v>332</v>
      </c>
      <c r="AG47" s="85" t="s">
        <v>10</v>
      </c>
      <c r="AH47" s="158">
        <v>10</v>
      </c>
      <c r="AI47" s="83" t="s">
        <v>172</v>
      </c>
      <c r="AJ47" s="84" t="s">
        <v>332</v>
      </c>
      <c r="AK47" s="85" t="s">
        <v>10</v>
      </c>
      <c r="AL47" s="158">
        <v>4</v>
      </c>
      <c r="AM47" s="83" t="s">
        <v>172</v>
      </c>
      <c r="AN47" s="84" t="s">
        <v>332</v>
      </c>
      <c r="AO47" s="85" t="s">
        <v>10</v>
      </c>
      <c r="AP47" s="353">
        <v>2</v>
      </c>
      <c r="AQ47" s="83" t="s">
        <v>172</v>
      </c>
      <c r="AR47" s="84" t="s">
        <v>332</v>
      </c>
      <c r="AS47" s="85" t="s">
        <v>10</v>
      </c>
      <c r="AT47" s="158">
        <v>3</v>
      </c>
      <c r="AU47" s="83" t="s">
        <v>172</v>
      </c>
      <c r="AV47" s="84" t="s">
        <v>332</v>
      </c>
      <c r="AW47" s="85" t="s">
        <v>10</v>
      </c>
      <c r="AX47" s="158">
        <v>1</v>
      </c>
      <c r="AY47" s="83" t="s">
        <v>172</v>
      </c>
      <c r="AZ47" s="84" t="s">
        <v>332</v>
      </c>
      <c r="BA47" s="85" t="s">
        <v>10</v>
      </c>
      <c r="BB47" s="158">
        <v>5</v>
      </c>
      <c r="BC47" s="83" t="s">
        <v>172</v>
      </c>
      <c r="BD47" s="84" t="s">
        <v>332</v>
      </c>
      <c r="BE47" s="85" t="s">
        <v>10</v>
      </c>
      <c r="BF47" s="158">
        <v>3</v>
      </c>
      <c r="BG47" s="83" t="s">
        <v>172</v>
      </c>
      <c r="BH47" s="84" t="s">
        <v>332</v>
      </c>
      <c r="BI47" s="85" t="s">
        <v>10</v>
      </c>
      <c r="BJ47" s="158">
        <v>8</v>
      </c>
    </row>
    <row r="48" spans="1:62" ht="15.75">
      <c r="A48" s="78"/>
      <c r="B48" s="338" t="s">
        <v>26</v>
      </c>
      <c r="C48" s="338" t="s">
        <v>25</v>
      </c>
      <c r="D48" s="100">
        <v>0</v>
      </c>
      <c r="E48" s="100">
        <v>0</v>
      </c>
      <c r="F48" s="352"/>
      <c r="G48" s="83" t="s">
        <v>89</v>
      </c>
      <c r="H48" s="338" t="s">
        <v>26</v>
      </c>
      <c r="I48" s="85" t="s">
        <v>25</v>
      </c>
      <c r="J48" s="189"/>
      <c r="K48" s="83" t="s">
        <v>89</v>
      </c>
      <c r="L48" s="338" t="s">
        <v>26</v>
      </c>
      <c r="M48" s="85" t="s">
        <v>25</v>
      </c>
      <c r="N48" s="158"/>
      <c r="O48" s="21" t="e">
        <f t="shared" si="0"/>
        <v>#REF!</v>
      </c>
      <c r="P48" s="252"/>
      <c r="Q48" s="252"/>
      <c r="R48" s="252"/>
      <c r="S48" s="252"/>
      <c r="T48" s="252"/>
      <c r="U48" s="252"/>
      <c r="V48" s="252"/>
      <c r="W48" s="83" t="s">
        <v>89</v>
      </c>
      <c r="X48" s="338" t="s">
        <v>26</v>
      </c>
      <c r="Y48" s="85" t="s">
        <v>25</v>
      </c>
      <c r="Z48" s="158"/>
      <c r="AA48" s="83" t="s">
        <v>89</v>
      </c>
      <c r="AB48" s="338" t="s">
        <v>26</v>
      </c>
      <c r="AC48" s="85" t="s">
        <v>25</v>
      </c>
      <c r="AD48" s="158"/>
      <c r="AE48" s="83" t="s">
        <v>89</v>
      </c>
      <c r="AF48" s="338" t="s">
        <v>26</v>
      </c>
      <c r="AG48" s="85" t="s">
        <v>25</v>
      </c>
      <c r="AH48" s="158"/>
      <c r="AI48" s="83" t="s">
        <v>89</v>
      </c>
      <c r="AJ48" s="338" t="s">
        <v>26</v>
      </c>
      <c r="AK48" s="85" t="s">
        <v>25</v>
      </c>
      <c r="AL48" s="158"/>
      <c r="AM48" s="83" t="s">
        <v>89</v>
      </c>
      <c r="AN48" s="338" t="s">
        <v>26</v>
      </c>
      <c r="AO48" s="85" t="s">
        <v>25</v>
      </c>
      <c r="AP48" s="206"/>
      <c r="AQ48" s="83" t="s">
        <v>89</v>
      </c>
      <c r="AR48" s="338" t="s">
        <v>26</v>
      </c>
      <c r="AS48" s="85" t="s">
        <v>25</v>
      </c>
      <c r="AT48" s="158"/>
      <c r="AU48" s="83" t="s">
        <v>89</v>
      </c>
      <c r="AV48" s="338" t="s">
        <v>26</v>
      </c>
      <c r="AW48" s="85" t="s">
        <v>25</v>
      </c>
      <c r="AX48" s="158"/>
      <c r="AY48" s="83" t="s">
        <v>89</v>
      </c>
      <c r="AZ48" s="338" t="s">
        <v>26</v>
      </c>
      <c r="BA48" s="85" t="s">
        <v>25</v>
      </c>
      <c r="BB48" s="158"/>
      <c r="BC48" s="83" t="s">
        <v>89</v>
      </c>
      <c r="BD48" s="338" t="s">
        <v>26</v>
      </c>
      <c r="BE48" s="85" t="s">
        <v>25</v>
      </c>
      <c r="BF48" s="158"/>
      <c r="BG48" s="83" t="s">
        <v>89</v>
      </c>
      <c r="BH48" s="338" t="s">
        <v>26</v>
      </c>
      <c r="BI48" s="85" t="s">
        <v>25</v>
      </c>
      <c r="BJ48" s="158"/>
    </row>
    <row r="49" spans="1:62" ht="12.75" customHeight="1" hidden="1">
      <c r="A49" s="129"/>
      <c r="B49" s="371" t="s">
        <v>140</v>
      </c>
      <c r="C49" s="371" t="s">
        <v>213</v>
      </c>
      <c r="D49" s="132">
        <f>116.006*0</f>
        <v>0</v>
      </c>
      <c r="E49" s="132">
        <f>116.006*0</f>
        <v>0</v>
      </c>
      <c r="F49" s="352"/>
      <c r="G49" s="131" t="s">
        <v>173</v>
      </c>
      <c r="H49" s="371" t="s">
        <v>140</v>
      </c>
      <c r="I49" s="128" t="s">
        <v>256</v>
      </c>
      <c r="J49" s="189">
        <f>N49+Z49+AD49+AH49+AL49+AP49+AT49+AX49+BB49+BF49+BJ49</f>
        <v>0</v>
      </c>
      <c r="K49" s="131" t="s">
        <v>173</v>
      </c>
      <c r="L49" s="371" t="s">
        <v>140</v>
      </c>
      <c r="M49" s="128" t="s">
        <v>256</v>
      </c>
      <c r="N49" s="158"/>
      <c r="O49" s="21" t="e">
        <f t="shared" si="0"/>
        <v>#REF!</v>
      </c>
      <c r="P49" s="252"/>
      <c r="Q49" s="252"/>
      <c r="R49" s="252"/>
      <c r="S49" s="252"/>
      <c r="T49" s="252"/>
      <c r="U49" s="252"/>
      <c r="V49" s="252"/>
      <c r="W49" s="131" t="s">
        <v>173</v>
      </c>
      <c r="X49" s="371" t="s">
        <v>140</v>
      </c>
      <c r="Y49" s="128" t="s">
        <v>256</v>
      </c>
      <c r="Z49" s="158"/>
      <c r="AA49" s="131" t="s">
        <v>173</v>
      </c>
      <c r="AB49" s="371" t="s">
        <v>140</v>
      </c>
      <c r="AC49" s="128" t="s">
        <v>256</v>
      </c>
      <c r="AD49" s="158"/>
      <c r="AE49" s="131" t="s">
        <v>173</v>
      </c>
      <c r="AF49" s="371" t="s">
        <v>140</v>
      </c>
      <c r="AG49" s="128" t="s">
        <v>256</v>
      </c>
      <c r="AH49" s="158"/>
      <c r="AI49" s="131" t="s">
        <v>173</v>
      </c>
      <c r="AJ49" s="371" t="s">
        <v>140</v>
      </c>
      <c r="AK49" s="128" t="s">
        <v>256</v>
      </c>
      <c r="AL49" s="158"/>
      <c r="AM49" s="131" t="s">
        <v>173</v>
      </c>
      <c r="AN49" s="371" t="s">
        <v>140</v>
      </c>
      <c r="AO49" s="128" t="s">
        <v>256</v>
      </c>
      <c r="AP49" s="206"/>
      <c r="AQ49" s="131" t="s">
        <v>173</v>
      </c>
      <c r="AR49" s="371" t="s">
        <v>140</v>
      </c>
      <c r="AS49" s="128" t="s">
        <v>256</v>
      </c>
      <c r="AT49" s="158"/>
      <c r="AU49" s="131" t="s">
        <v>173</v>
      </c>
      <c r="AV49" s="371" t="s">
        <v>140</v>
      </c>
      <c r="AW49" s="128" t="s">
        <v>256</v>
      </c>
      <c r="AX49" s="158"/>
      <c r="AY49" s="131" t="s">
        <v>173</v>
      </c>
      <c r="AZ49" s="371" t="s">
        <v>140</v>
      </c>
      <c r="BA49" s="128" t="s">
        <v>256</v>
      </c>
      <c r="BB49" s="158"/>
      <c r="BC49" s="131" t="s">
        <v>173</v>
      </c>
      <c r="BD49" s="371" t="s">
        <v>140</v>
      </c>
      <c r="BE49" s="128" t="s">
        <v>256</v>
      </c>
      <c r="BF49" s="158"/>
      <c r="BG49" s="131" t="s">
        <v>173</v>
      </c>
      <c r="BH49" s="371" t="s">
        <v>140</v>
      </c>
      <c r="BI49" s="128" t="s">
        <v>256</v>
      </c>
      <c r="BJ49" s="158"/>
    </row>
    <row r="50" spans="1:62" ht="12.75" customHeight="1" hidden="1">
      <c r="A50" s="129"/>
      <c r="B50" s="371" t="s">
        <v>141</v>
      </c>
      <c r="C50" s="371" t="s">
        <v>15</v>
      </c>
      <c r="D50" s="132">
        <f>55*0</f>
        <v>0</v>
      </c>
      <c r="E50" s="132">
        <f>55*0</f>
        <v>0</v>
      </c>
      <c r="F50" s="352"/>
      <c r="G50" s="131" t="s">
        <v>174</v>
      </c>
      <c r="H50" s="371" t="s">
        <v>141</v>
      </c>
      <c r="I50" s="85" t="s">
        <v>15</v>
      </c>
      <c r="J50" s="189">
        <f>N50+Z50+AD50+AH50+AL50+AP50+AT50+AX50+BB50+BF50+BJ50</f>
        <v>0</v>
      </c>
      <c r="K50" s="131" t="s">
        <v>174</v>
      </c>
      <c r="L50" s="371" t="s">
        <v>141</v>
      </c>
      <c r="M50" s="85" t="s">
        <v>15</v>
      </c>
      <c r="N50" s="158"/>
      <c r="O50" s="21" t="e">
        <f t="shared" si="0"/>
        <v>#REF!</v>
      </c>
      <c r="P50" s="252"/>
      <c r="Q50" s="252"/>
      <c r="R50" s="252"/>
      <c r="S50" s="252"/>
      <c r="T50" s="252"/>
      <c r="U50" s="252"/>
      <c r="V50" s="252"/>
      <c r="W50" s="131" t="s">
        <v>174</v>
      </c>
      <c r="X50" s="371" t="s">
        <v>141</v>
      </c>
      <c r="Y50" s="85" t="s">
        <v>15</v>
      </c>
      <c r="Z50" s="158"/>
      <c r="AA50" s="131" t="s">
        <v>174</v>
      </c>
      <c r="AB50" s="371" t="s">
        <v>141</v>
      </c>
      <c r="AC50" s="85" t="s">
        <v>15</v>
      </c>
      <c r="AD50" s="158"/>
      <c r="AE50" s="131" t="s">
        <v>174</v>
      </c>
      <c r="AF50" s="371" t="s">
        <v>141</v>
      </c>
      <c r="AG50" s="85" t="s">
        <v>15</v>
      </c>
      <c r="AH50" s="158"/>
      <c r="AI50" s="131" t="s">
        <v>174</v>
      </c>
      <c r="AJ50" s="371" t="s">
        <v>141</v>
      </c>
      <c r="AK50" s="85" t="s">
        <v>15</v>
      </c>
      <c r="AL50" s="158"/>
      <c r="AM50" s="131" t="s">
        <v>174</v>
      </c>
      <c r="AN50" s="371" t="s">
        <v>141</v>
      </c>
      <c r="AO50" s="85" t="s">
        <v>15</v>
      </c>
      <c r="AP50" s="206"/>
      <c r="AQ50" s="131" t="s">
        <v>174</v>
      </c>
      <c r="AR50" s="371" t="s">
        <v>141</v>
      </c>
      <c r="AS50" s="85" t="s">
        <v>15</v>
      </c>
      <c r="AT50" s="158"/>
      <c r="AU50" s="131" t="s">
        <v>174</v>
      </c>
      <c r="AV50" s="371" t="s">
        <v>141</v>
      </c>
      <c r="AW50" s="85" t="s">
        <v>15</v>
      </c>
      <c r="AX50" s="158"/>
      <c r="AY50" s="131" t="s">
        <v>174</v>
      </c>
      <c r="AZ50" s="371" t="s">
        <v>141</v>
      </c>
      <c r="BA50" s="85" t="s">
        <v>15</v>
      </c>
      <c r="BB50" s="158"/>
      <c r="BC50" s="131" t="s">
        <v>174</v>
      </c>
      <c r="BD50" s="371" t="s">
        <v>141</v>
      </c>
      <c r="BE50" s="85" t="s">
        <v>15</v>
      </c>
      <c r="BF50" s="158"/>
      <c r="BG50" s="131" t="s">
        <v>174</v>
      </c>
      <c r="BH50" s="371" t="s">
        <v>141</v>
      </c>
      <c r="BI50" s="85" t="s">
        <v>15</v>
      </c>
      <c r="BJ50" s="158"/>
    </row>
    <row r="51" spans="1:62" ht="15">
      <c r="A51" s="78"/>
      <c r="B51" s="98"/>
      <c r="C51" s="98"/>
      <c r="D51" s="100">
        <v>0</v>
      </c>
      <c r="E51" s="100">
        <v>0</v>
      </c>
      <c r="F51" s="352"/>
      <c r="G51" s="39"/>
      <c r="H51" s="329" t="s">
        <v>216</v>
      </c>
      <c r="I51" s="43"/>
      <c r="J51" s="160"/>
      <c r="K51" s="39"/>
      <c r="L51" s="41" t="s">
        <v>216</v>
      </c>
      <c r="M51" s="43"/>
      <c r="N51" s="160"/>
      <c r="O51" s="21" t="e">
        <f t="shared" si="0"/>
        <v>#REF!</v>
      </c>
      <c r="P51" s="252"/>
      <c r="Q51" s="252"/>
      <c r="R51" s="252"/>
      <c r="S51" s="252"/>
      <c r="T51" s="252"/>
      <c r="U51" s="252"/>
      <c r="V51" s="252"/>
      <c r="W51" s="39"/>
      <c r="X51" s="41" t="s">
        <v>216</v>
      </c>
      <c r="Y51" s="43"/>
      <c r="Z51" s="160"/>
      <c r="AA51" s="39"/>
      <c r="AB51" s="41" t="s">
        <v>216</v>
      </c>
      <c r="AC51" s="43"/>
      <c r="AD51" s="160"/>
      <c r="AE51" s="39"/>
      <c r="AF51" s="41" t="s">
        <v>216</v>
      </c>
      <c r="AG51" s="43"/>
      <c r="AH51" s="160"/>
      <c r="AI51" s="39"/>
      <c r="AJ51" s="41" t="s">
        <v>216</v>
      </c>
      <c r="AK51" s="43"/>
      <c r="AL51" s="160"/>
      <c r="AM51" s="39"/>
      <c r="AN51" s="41" t="s">
        <v>216</v>
      </c>
      <c r="AO51" s="43"/>
      <c r="AP51" s="205"/>
      <c r="AQ51" s="39"/>
      <c r="AR51" s="41" t="s">
        <v>216</v>
      </c>
      <c r="AS51" s="43"/>
      <c r="AT51" s="160"/>
      <c r="AU51" s="39"/>
      <c r="AV51" s="41" t="s">
        <v>216</v>
      </c>
      <c r="AW51" s="43"/>
      <c r="AX51" s="160"/>
      <c r="AY51" s="39"/>
      <c r="AZ51" s="41" t="s">
        <v>216</v>
      </c>
      <c r="BA51" s="43"/>
      <c r="BB51" s="160"/>
      <c r="BC51" s="39"/>
      <c r="BD51" s="41" t="s">
        <v>216</v>
      </c>
      <c r="BE51" s="43"/>
      <c r="BF51" s="160"/>
      <c r="BG51" s="39"/>
      <c r="BH51" s="41" t="s">
        <v>216</v>
      </c>
      <c r="BI51" s="43"/>
      <c r="BJ51" s="160"/>
    </row>
    <row r="52" spans="1:62" ht="13.5" customHeight="1">
      <c r="A52" s="404"/>
      <c r="B52" s="395"/>
      <c r="C52" s="395"/>
      <c r="D52" s="508">
        <v>0</v>
      </c>
      <c r="E52" s="508">
        <v>0</v>
      </c>
      <c r="F52" s="718"/>
      <c r="G52" s="397" t="s">
        <v>156</v>
      </c>
      <c r="H52" s="328" t="s">
        <v>44</v>
      </c>
      <c r="I52" s="11"/>
      <c r="J52" s="158"/>
      <c r="K52" s="397" t="s">
        <v>156</v>
      </c>
      <c r="L52" s="42" t="s">
        <v>44</v>
      </c>
      <c r="M52" s="11"/>
      <c r="N52" s="158"/>
      <c r="O52" s="21" t="e">
        <f t="shared" si="0"/>
        <v>#REF!</v>
      </c>
      <c r="P52" s="252"/>
      <c r="Q52" s="252"/>
      <c r="R52" s="252"/>
      <c r="S52" s="252"/>
      <c r="T52" s="252"/>
      <c r="U52" s="252"/>
      <c r="V52" s="252"/>
      <c r="W52" s="397" t="s">
        <v>156</v>
      </c>
      <c r="X52" s="42" t="s">
        <v>44</v>
      </c>
      <c r="Y52" s="11"/>
      <c r="Z52" s="158"/>
      <c r="AA52" s="397" t="s">
        <v>156</v>
      </c>
      <c r="AB52" s="42" t="s">
        <v>44</v>
      </c>
      <c r="AC52" s="11"/>
      <c r="AD52" s="158"/>
      <c r="AE52" s="397" t="s">
        <v>156</v>
      </c>
      <c r="AF52" s="42" t="s">
        <v>44</v>
      </c>
      <c r="AG52" s="11"/>
      <c r="AH52" s="158"/>
      <c r="AI52" s="397" t="s">
        <v>156</v>
      </c>
      <c r="AJ52" s="42" t="s">
        <v>44</v>
      </c>
      <c r="AK52" s="11"/>
      <c r="AL52" s="158"/>
      <c r="AM52" s="397" t="s">
        <v>156</v>
      </c>
      <c r="AN52" s="42" t="s">
        <v>44</v>
      </c>
      <c r="AO52" s="11"/>
      <c r="AP52" s="206"/>
      <c r="AQ52" s="397" t="s">
        <v>156</v>
      </c>
      <c r="AR52" s="42" t="s">
        <v>44</v>
      </c>
      <c r="AS52" s="11"/>
      <c r="AT52" s="158"/>
      <c r="AU52" s="397" t="s">
        <v>156</v>
      </c>
      <c r="AV52" s="42" t="s">
        <v>44</v>
      </c>
      <c r="AW52" s="11"/>
      <c r="AX52" s="158"/>
      <c r="AY52" s="397" t="s">
        <v>156</v>
      </c>
      <c r="AZ52" s="42" t="s">
        <v>44</v>
      </c>
      <c r="BA52" s="11"/>
      <c r="BB52" s="158"/>
      <c r="BC52" s="397" t="s">
        <v>156</v>
      </c>
      <c r="BD52" s="42" t="s">
        <v>44</v>
      </c>
      <c r="BE52" s="11"/>
      <c r="BF52" s="158"/>
      <c r="BG52" s="397" t="s">
        <v>156</v>
      </c>
      <c r="BH52" s="42" t="s">
        <v>44</v>
      </c>
      <c r="BI52" s="11"/>
      <c r="BJ52" s="158"/>
    </row>
    <row r="53" spans="1:62" ht="12.75" customHeight="1">
      <c r="A53" s="299"/>
      <c r="B53" s="341" t="s">
        <v>36</v>
      </c>
      <c r="C53" s="341" t="s">
        <v>20</v>
      </c>
      <c r="D53" s="510">
        <v>0.433</v>
      </c>
      <c r="E53" s="510">
        <v>0.433</v>
      </c>
      <c r="F53" s="352"/>
      <c r="G53" s="143" t="s">
        <v>173</v>
      </c>
      <c r="H53" s="74" t="s">
        <v>36</v>
      </c>
      <c r="I53" s="11" t="s">
        <v>20</v>
      </c>
      <c r="J53" s="168">
        <f aca="true" t="shared" si="2" ref="J53:J62">N53+Z53+AD53+AH53+AL53+AP53+AT53+AX53+BB53+BF53+BJ53</f>
        <v>96</v>
      </c>
      <c r="K53" s="143" t="s">
        <v>173</v>
      </c>
      <c r="L53" s="3" t="s">
        <v>36</v>
      </c>
      <c r="M53" s="11" t="s">
        <v>20</v>
      </c>
      <c r="N53" s="719"/>
      <c r="O53" s="21" t="e">
        <f t="shared" si="0"/>
        <v>#REF!</v>
      </c>
      <c r="P53" s="252"/>
      <c r="Q53" s="252"/>
      <c r="R53" s="252"/>
      <c r="S53" s="252"/>
      <c r="T53" s="252"/>
      <c r="U53" s="252"/>
      <c r="V53" s="252"/>
      <c r="W53" s="143" t="s">
        <v>173</v>
      </c>
      <c r="X53" s="3" t="s">
        <v>36</v>
      </c>
      <c r="Y53" s="11" t="s">
        <v>20</v>
      </c>
      <c r="Z53" s="158"/>
      <c r="AA53" s="143" t="s">
        <v>173</v>
      </c>
      <c r="AB53" s="3" t="s">
        <v>36</v>
      </c>
      <c r="AC53" s="11" t="s">
        <v>20</v>
      </c>
      <c r="AD53" s="158"/>
      <c r="AE53" s="143" t="s">
        <v>173</v>
      </c>
      <c r="AF53" s="3" t="s">
        <v>36</v>
      </c>
      <c r="AG53" s="11" t="s">
        <v>20</v>
      </c>
      <c r="AH53" s="158"/>
      <c r="AI53" s="143" t="s">
        <v>173</v>
      </c>
      <c r="AJ53" s="3" t="s">
        <v>36</v>
      </c>
      <c r="AK53" s="11" t="s">
        <v>20</v>
      </c>
      <c r="AL53" s="158"/>
      <c r="AM53" s="143" t="s">
        <v>173</v>
      </c>
      <c r="AN53" s="3" t="s">
        <v>36</v>
      </c>
      <c r="AO53" s="11" t="s">
        <v>20</v>
      </c>
      <c r="AP53" s="206"/>
      <c r="AQ53" s="143" t="s">
        <v>173</v>
      </c>
      <c r="AR53" s="3" t="s">
        <v>36</v>
      </c>
      <c r="AS53" s="11" t="s">
        <v>20</v>
      </c>
      <c r="AT53" s="158">
        <v>36</v>
      </c>
      <c r="AU53" s="143" t="s">
        <v>173</v>
      </c>
      <c r="AV53" s="3" t="s">
        <v>36</v>
      </c>
      <c r="AW53" s="11" t="s">
        <v>20</v>
      </c>
      <c r="AX53" s="158"/>
      <c r="AY53" s="143" t="s">
        <v>173</v>
      </c>
      <c r="AZ53" s="3" t="s">
        <v>36</v>
      </c>
      <c r="BA53" s="11" t="s">
        <v>20</v>
      </c>
      <c r="BB53" s="158"/>
      <c r="BC53" s="143" t="s">
        <v>173</v>
      </c>
      <c r="BD53" s="3" t="s">
        <v>36</v>
      </c>
      <c r="BE53" s="11" t="s">
        <v>20</v>
      </c>
      <c r="BF53" s="158"/>
      <c r="BG53" s="143" t="s">
        <v>173</v>
      </c>
      <c r="BH53" s="3" t="s">
        <v>36</v>
      </c>
      <c r="BI53" s="11" t="s">
        <v>20</v>
      </c>
      <c r="BJ53" s="158">
        <v>60</v>
      </c>
    </row>
    <row r="54" spans="1:62" ht="15" hidden="1">
      <c r="A54" s="516"/>
      <c r="B54" s="513" t="s">
        <v>45</v>
      </c>
      <c r="C54" s="513" t="s">
        <v>20</v>
      </c>
      <c r="D54" s="514">
        <v>11.092</v>
      </c>
      <c r="E54" s="514">
        <v>7.134</v>
      </c>
      <c r="F54" s="352"/>
      <c r="G54" s="20" t="s">
        <v>174</v>
      </c>
      <c r="H54" s="74" t="s">
        <v>45</v>
      </c>
      <c r="I54" s="11" t="s">
        <v>20</v>
      </c>
      <c r="J54" s="534">
        <f t="shared" si="2"/>
        <v>0</v>
      </c>
      <c r="K54" s="20" t="s">
        <v>174</v>
      </c>
      <c r="L54" s="3" t="s">
        <v>45</v>
      </c>
      <c r="M54" s="11" t="s">
        <v>20</v>
      </c>
      <c r="N54" s="719"/>
      <c r="O54" s="21" t="e">
        <f t="shared" si="0"/>
        <v>#REF!</v>
      </c>
      <c r="P54" s="252"/>
      <c r="Q54" s="252"/>
      <c r="R54" s="252"/>
      <c r="S54" s="252"/>
      <c r="T54" s="252"/>
      <c r="U54" s="252"/>
      <c r="V54" s="252"/>
      <c r="W54" s="20" t="s">
        <v>174</v>
      </c>
      <c r="X54" s="3" t="s">
        <v>45</v>
      </c>
      <c r="Y54" s="11" t="s">
        <v>20</v>
      </c>
      <c r="Z54" s="158"/>
      <c r="AA54" s="20" t="s">
        <v>174</v>
      </c>
      <c r="AB54" s="3" t="s">
        <v>45</v>
      </c>
      <c r="AC54" s="11" t="s">
        <v>20</v>
      </c>
      <c r="AD54" s="158"/>
      <c r="AE54" s="20" t="s">
        <v>174</v>
      </c>
      <c r="AF54" s="3" t="s">
        <v>45</v>
      </c>
      <c r="AG54" s="11" t="s">
        <v>20</v>
      </c>
      <c r="AH54" s="158"/>
      <c r="AI54" s="20" t="s">
        <v>174</v>
      </c>
      <c r="AJ54" s="3" t="s">
        <v>45</v>
      </c>
      <c r="AK54" s="11" t="s">
        <v>20</v>
      </c>
      <c r="AL54" s="158"/>
      <c r="AM54" s="20" t="s">
        <v>174</v>
      </c>
      <c r="AN54" s="3" t="s">
        <v>45</v>
      </c>
      <c r="AO54" s="11" t="s">
        <v>20</v>
      </c>
      <c r="AP54" s="206"/>
      <c r="AQ54" s="20" t="s">
        <v>174</v>
      </c>
      <c r="AR54" s="3" t="s">
        <v>45</v>
      </c>
      <c r="AS54" s="11" t="s">
        <v>20</v>
      </c>
      <c r="AT54" s="158"/>
      <c r="AU54" s="20" t="s">
        <v>174</v>
      </c>
      <c r="AV54" s="3" t="s">
        <v>45</v>
      </c>
      <c r="AW54" s="11" t="s">
        <v>20</v>
      </c>
      <c r="AX54" s="158"/>
      <c r="AY54" s="20" t="s">
        <v>174</v>
      </c>
      <c r="AZ54" s="3" t="s">
        <v>45</v>
      </c>
      <c r="BA54" s="11" t="s">
        <v>20</v>
      </c>
      <c r="BB54" s="158"/>
      <c r="BC54" s="20" t="s">
        <v>174</v>
      </c>
      <c r="BD54" s="3" t="s">
        <v>45</v>
      </c>
      <c r="BE54" s="11" t="s">
        <v>20</v>
      </c>
      <c r="BF54" s="158"/>
      <c r="BG54" s="20" t="s">
        <v>174</v>
      </c>
      <c r="BH54" s="3" t="s">
        <v>45</v>
      </c>
      <c r="BI54" s="11" t="s">
        <v>20</v>
      </c>
      <c r="BJ54" s="158"/>
    </row>
    <row r="55" spans="1:62" ht="15">
      <c r="A55" s="78"/>
      <c r="B55" s="98" t="s">
        <v>145</v>
      </c>
      <c r="C55" s="98" t="s">
        <v>20</v>
      </c>
      <c r="D55" s="510">
        <v>0.824</v>
      </c>
      <c r="E55" s="510">
        <v>0.824</v>
      </c>
      <c r="F55" s="352"/>
      <c r="G55" s="20" t="s">
        <v>175</v>
      </c>
      <c r="H55" s="74" t="s">
        <v>145</v>
      </c>
      <c r="I55" s="11" t="s">
        <v>20</v>
      </c>
      <c r="J55" s="534">
        <f t="shared" si="2"/>
        <v>18</v>
      </c>
      <c r="K55" s="20" t="s">
        <v>175</v>
      </c>
      <c r="L55" s="3" t="s">
        <v>145</v>
      </c>
      <c r="M55" s="11" t="s">
        <v>20</v>
      </c>
      <c r="N55" s="158">
        <v>1</v>
      </c>
      <c r="O55" s="21" t="e">
        <f t="shared" si="0"/>
        <v>#REF!</v>
      </c>
      <c r="P55" s="252"/>
      <c r="Q55" s="252"/>
      <c r="R55" s="252"/>
      <c r="S55" s="252"/>
      <c r="T55" s="252"/>
      <c r="U55" s="252"/>
      <c r="V55" s="252"/>
      <c r="W55" s="20" t="s">
        <v>175</v>
      </c>
      <c r="X55" s="3" t="s">
        <v>145</v>
      </c>
      <c r="Y55" s="11" t="s">
        <v>20</v>
      </c>
      <c r="Z55" s="158">
        <v>4</v>
      </c>
      <c r="AA55" s="20" t="s">
        <v>175</v>
      </c>
      <c r="AB55" s="3" t="s">
        <v>145</v>
      </c>
      <c r="AC55" s="11" t="s">
        <v>20</v>
      </c>
      <c r="AD55" s="158">
        <v>2</v>
      </c>
      <c r="AE55" s="20" t="s">
        <v>175</v>
      </c>
      <c r="AF55" s="3" t="s">
        <v>145</v>
      </c>
      <c r="AG55" s="11" t="s">
        <v>20</v>
      </c>
      <c r="AH55" s="158">
        <v>2</v>
      </c>
      <c r="AI55" s="20" t="s">
        <v>175</v>
      </c>
      <c r="AJ55" s="3" t="s">
        <v>145</v>
      </c>
      <c r="AK55" s="11" t="s">
        <v>20</v>
      </c>
      <c r="AL55" s="158">
        <v>4</v>
      </c>
      <c r="AM55" s="20" t="s">
        <v>175</v>
      </c>
      <c r="AN55" s="3" t="s">
        <v>145</v>
      </c>
      <c r="AO55" s="11" t="s">
        <v>20</v>
      </c>
      <c r="AP55" s="206"/>
      <c r="AQ55" s="20" t="s">
        <v>175</v>
      </c>
      <c r="AR55" s="3" t="s">
        <v>145</v>
      </c>
      <c r="AS55" s="11" t="s">
        <v>20</v>
      </c>
      <c r="AT55" s="158"/>
      <c r="AU55" s="20" t="s">
        <v>175</v>
      </c>
      <c r="AV55" s="3" t="s">
        <v>145</v>
      </c>
      <c r="AW55" s="11" t="s">
        <v>20</v>
      </c>
      <c r="AX55" s="158"/>
      <c r="AY55" s="20" t="s">
        <v>175</v>
      </c>
      <c r="AZ55" s="3" t="s">
        <v>145</v>
      </c>
      <c r="BA55" s="11" t="s">
        <v>20</v>
      </c>
      <c r="BB55" s="158"/>
      <c r="BC55" s="20" t="s">
        <v>175</v>
      </c>
      <c r="BD55" s="3" t="s">
        <v>145</v>
      </c>
      <c r="BE55" s="11" t="s">
        <v>20</v>
      </c>
      <c r="BF55" s="158">
        <v>2</v>
      </c>
      <c r="BG55" s="20" t="s">
        <v>175</v>
      </c>
      <c r="BH55" s="3" t="s">
        <v>145</v>
      </c>
      <c r="BI55" s="11" t="s">
        <v>20</v>
      </c>
      <c r="BJ55" s="158">
        <v>3</v>
      </c>
    </row>
    <row r="56" spans="1:62" ht="12.75" customHeight="1" hidden="1">
      <c r="A56" s="516"/>
      <c r="B56" s="513" t="s">
        <v>207</v>
      </c>
      <c r="C56" s="513" t="s">
        <v>10</v>
      </c>
      <c r="D56" s="514">
        <v>1.5</v>
      </c>
      <c r="E56" s="514">
        <v>1.5</v>
      </c>
      <c r="F56" s="352"/>
      <c r="G56" s="20" t="s">
        <v>173</v>
      </c>
      <c r="H56" s="74" t="s">
        <v>207</v>
      </c>
      <c r="I56" s="11" t="s">
        <v>10</v>
      </c>
      <c r="J56" s="534">
        <f t="shared" si="2"/>
        <v>0</v>
      </c>
      <c r="K56" s="20" t="s">
        <v>173</v>
      </c>
      <c r="L56" s="3" t="s">
        <v>207</v>
      </c>
      <c r="M56" s="11" t="s">
        <v>10</v>
      </c>
      <c r="N56" s="158"/>
      <c r="O56" s="21" t="e">
        <f t="shared" si="0"/>
        <v>#REF!</v>
      </c>
      <c r="P56" s="252"/>
      <c r="Q56" s="252"/>
      <c r="R56" s="252"/>
      <c r="S56" s="252"/>
      <c r="T56" s="252"/>
      <c r="U56" s="252"/>
      <c r="V56" s="252"/>
      <c r="W56" s="20" t="s">
        <v>173</v>
      </c>
      <c r="X56" s="3" t="s">
        <v>207</v>
      </c>
      <c r="Y56" s="11" t="s">
        <v>10</v>
      </c>
      <c r="Z56" s="158"/>
      <c r="AA56" s="20" t="s">
        <v>173</v>
      </c>
      <c r="AB56" s="3" t="s">
        <v>207</v>
      </c>
      <c r="AC56" s="11" t="s">
        <v>10</v>
      </c>
      <c r="AD56" s="158"/>
      <c r="AE56" s="20" t="s">
        <v>173</v>
      </c>
      <c r="AF56" s="3" t="s">
        <v>207</v>
      </c>
      <c r="AG56" s="11" t="s">
        <v>10</v>
      </c>
      <c r="AH56" s="158"/>
      <c r="AI56" s="20" t="s">
        <v>173</v>
      </c>
      <c r="AJ56" s="3" t="s">
        <v>207</v>
      </c>
      <c r="AK56" s="11" t="s">
        <v>10</v>
      </c>
      <c r="AL56" s="158"/>
      <c r="AM56" s="20" t="s">
        <v>173</v>
      </c>
      <c r="AN56" s="3" t="s">
        <v>207</v>
      </c>
      <c r="AO56" s="11" t="s">
        <v>10</v>
      </c>
      <c r="AP56" s="206"/>
      <c r="AQ56" s="20" t="s">
        <v>173</v>
      </c>
      <c r="AR56" s="3" t="s">
        <v>207</v>
      </c>
      <c r="AS56" s="11" t="s">
        <v>10</v>
      </c>
      <c r="AT56" s="158"/>
      <c r="AU56" s="20" t="s">
        <v>173</v>
      </c>
      <c r="AV56" s="3" t="s">
        <v>207</v>
      </c>
      <c r="AW56" s="11" t="s">
        <v>10</v>
      </c>
      <c r="AX56" s="158"/>
      <c r="AY56" s="20" t="s">
        <v>173</v>
      </c>
      <c r="AZ56" s="3" t="s">
        <v>207</v>
      </c>
      <c r="BA56" s="11" t="s">
        <v>10</v>
      </c>
      <c r="BB56" s="158"/>
      <c r="BC56" s="20" t="s">
        <v>173</v>
      </c>
      <c r="BD56" s="3" t="s">
        <v>207</v>
      </c>
      <c r="BE56" s="11" t="s">
        <v>10</v>
      </c>
      <c r="BF56" s="158"/>
      <c r="BG56" s="20" t="s">
        <v>173</v>
      </c>
      <c r="BH56" s="3" t="s">
        <v>207</v>
      </c>
      <c r="BI56" s="11" t="s">
        <v>10</v>
      </c>
      <c r="BJ56" s="158"/>
    </row>
    <row r="57" spans="1:62" ht="15">
      <c r="A57" s="78"/>
      <c r="B57" s="98" t="s">
        <v>46</v>
      </c>
      <c r="C57" s="98" t="s">
        <v>13</v>
      </c>
      <c r="D57" s="515">
        <v>429</v>
      </c>
      <c r="E57" s="515">
        <v>429</v>
      </c>
      <c r="F57" s="352"/>
      <c r="G57" s="20" t="s">
        <v>176</v>
      </c>
      <c r="H57" s="74" t="s">
        <v>46</v>
      </c>
      <c r="I57" s="11" t="s">
        <v>13</v>
      </c>
      <c r="J57" s="365">
        <f t="shared" si="2"/>
        <v>0.17600000000000002</v>
      </c>
      <c r="K57" s="20" t="s">
        <v>176</v>
      </c>
      <c r="L57" s="3" t="s">
        <v>46</v>
      </c>
      <c r="M57" s="11" t="s">
        <v>13</v>
      </c>
      <c r="N57" s="720">
        <v>0.01</v>
      </c>
      <c r="O57" s="21" t="e">
        <f t="shared" si="0"/>
        <v>#REF!</v>
      </c>
      <c r="P57" s="252"/>
      <c r="Q57" s="252"/>
      <c r="R57" s="252"/>
      <c r="S57" s="252"/>
      <c r="T57" s="252"/>
      <c r="U57" s="252"/>
      <c r="V57" s="252"/>
      <c r="W57" s="20" t="s">
        <v>176</v>
      </c>
      <c r="X57" s="3" t="s">
        <v>46</v>
      </c>
      <c r="Y57" s="11" t="s">
        <v>13</v>
      </c>
      <c r="Z57" s="206">
        <v>0.02</v>
      </c>
      <c r="AA57" s="20" t="s">
        <v>176</v>
      </c>
      <c r="AB57" s="3" t="s">
        <v>46</v>
      </c>
      <c r="AC57" s="11" t="s">
        <v>13</v>
      </c>
      <c r="AD57" s="206">
        <v>0.008</v>
      </c>
      <c r="AE57" s="20" t="s">
        <v>176</v>
      </c>
      <c r="AF57" s="3" t="s">
        <v>46</v>
      </c>
      <c r="AG57" s="11" t="s">
        <v>13</v>
      </c>
      <c r="AH57" s="206">
        <v>0.03</v>
      </c>
      <c r="AI57" s="20" t="s">
        <v>176</v>
      </c>
      <c r="AJ57" s="3" t="s">
        <v>46</v>
      </c>
      <c r="AK57" s="11" t="s">
        <v>13</v>
      </c>
      <c r="AL57" s="158">
        <v>0.008</v>
      </c>
      <c r="AM57" s="20" t="s">
        <v>176</v>
      </c>
      <c r="AN57" s="3" t="s">
        <v>46</v>
      </c>
      <c r="AO57" s="11" t="s">
        <v>13</v>
      </c>
      <c r="AP57" s="206">
        <v>0.01</v>
      </c>
      <c r="AQ57" s="20" t="s">
        <v>176</v>
      </c>
      <c r="AR57" s="3" t="s">
        <v>46</v>
      </c>
      <c r="AS57" s="11" t="s">
        <v>13</v>
      </c>
      <c r="AT57" s="206">
        <v>0.01</v>
      </c>
      <c r="AU57" s="20" t="s">
        <v>176</v>
      </c>
      <c r="AV57" s="3" t="s">
        <v>46</v>
      </c>
      <c r="AW57" s="11" t="s">
        <v>13</v>
      </c>
      <c r="AX57" s="206">
        <v>0.01</v>
      </c>
      <c r="AY57" s="20" t="s">
        <v>176</v>
      </c>
      <c r="AZ57" s="3" t="s">
        <v>46</v>
      </c>
      <c r="BA57" s="11" t="s">
        <v>13</v>
      </c>
      <c r="BB57" s="206">
        <v>0.03</v>
      </c>
      <c r="BC57" s="20" t="s">
        <v>176</v>
      </c>
      <c r="BD57" s="3" t="s">
        <v>46</v>
      </c>
      <c r="BE57" s="11" t="s">
        <v>13</v>
      </c>
      <c r="BF57" s="158"/>
      <c r="BG57" s="20" t="s">
        <v>176</v>
      </c>
      <c r="BH57" s="3" t="s">
        <v>46</v>
      </c>
      <c r="BI57" s="11" t="s">
        <v>13</v>
      </c>
      <c r="BJ57" s="206">
        <v>0.04</v>
      </c>
    </row>
    <row r="58" spans="1:62" ht="12.75" customHeight="1" hidden="1">
      <c r="A58" s="78"/>
      <c r="B58" s="98" t="s">
        <v>38</v>
      </c>
      <c r="C58" s="98" t="s">
        <v>10</v>
      </c>
      <c r="D58" s="535">
        <v>6.59</v>
      </c>
      <c r="E58" s="535">
        <v>6.59</v>
      </c>
      <c r="F58" s="352"/>
      <c r="G58" s="20" t="s">
        <v>177</v>
      </c>
      <c r="H58" s="74" t="s">
        <v>38</v>
      </c>
      <c r="I58" s="11" t="s">
        <v>10</v>
      </c>
      <c r="J58" s="534">
        <f t="shared" si="2"/>
        <v>0</v>
      </c>
      <c r="K58" s="20" t="s">
        <v>177</v>
      </c>
      <c r="L58" s="3" t="s">
        <v>38</v>
      </c>
      <c r="M58" s="11" t="s">
        <v>10</v>
      </c>
      <c r="N58" s="158"/>
      <c r="O58" s="21" t="e">
        <f t="shared" si="0"/>
        <v>#REF!</v>
      </c>
      <c r="P58" s="252"/>
      <c r="Q58" s="252"/>
      <c r="R58" s="252"/>
      <c r="S58" s="252"/>
      <c r="T58" s="252"/>
      <c r="U58" s="252"/>
      <c r="V58" s="252"/>
      <c r="W58" s="20" t="s">
        <v>177</v>
      </c>
      <c r="X58" s="3" t="s">
        <v>38</v>
      </c>
      <c r="Y58" s="11" t="s">
        <v>10</v>
      </c>
      <c r="Z58" s="158"/>
      <c r="AA58" s="20" t="s">
        <v>177</v>
      </c>
      <c r="AB58" s="3" t="s">
        <v>38</v>
      </c>
      <c r="AC58" s="11" t="s">
        <v>10</v>
      </c>
      <c r="AD58" s="158"/>
      <c r="AE58" s="20" t="s">
        <v>177</v>
      </c>
      <c r="AF58" s="3" t="s">
        <v>38</v>
      </c>
      <c r="AG58" s="11" t="s">
        <v>10</v>
      </c>
      <c r="AH58" s="158"/>
      <c r="AI58" s="20" t="s">
        <v>177</v>
      </c>
      <c r="AJ58" s="3" t="s">
        <v>38</v>
      </c>
      <c r="AK58" s="11" t="s">
        <v>10</v>
      </c>
      <c r="AL58" s="158"/>
      <c r="AM58" s="20" t="s">
        <v>177</v>
      </c>
      <c r="AN58" s="3" t="s">
        <v>38</v>
      </c>
      <c r="AO58" s="11" t="s">
        <v>10</v>
      </c>
      <c r="AP58" s="158"/>
      <c r="AQ58" s="20" t="s">
        <v>177</v>
      </c>
      <c r="AR58" s="3" t="s">
        <v>38</v>
      </c>
      <c r="AS58" s="11" t="s">
        <v>10</v>
      </c>
      <c r="AT58" s="158"/>
      <c r="AU58" s="20" t="s">
        <v>177</v>
      </c>
      <c r="AV58" s="3" t="s">
        <v>38</v>
      </c>
      <c r="AW58" s="11" t="s">
        <v>10</v>
      </c>
      <c r="AX58" s="158"/>
      <c r="AY58" s="20" t="s">
        <v>177</v>
      </c>
      <c r="AZ58" s="3" t="s">
        <v>38</v>
      </c>
      <c r="BA58" s="11" t="s">
        <v>10</v>
      </c>
      <c r="BB58" s="158"/>
      <c r="BC58" s="20" t="s">
        <v>177</v>
      </c>
      <c r="BD58" s="3" t="s">
        <v>38</v>
      </c>
      <c r="BE58" s="11" t="s">
        <v>10</v>
      </c>
      <c r="BF58" s="158"/>
      <c r="BG58" s="20" t="s">
        <v>177</v>
      </c>
      <c r="BH58" s="3" t="s">
        <v>38</v>
      </c>
      <c r="BI58" s="11" t="s">
        <v>10</v>
      </c>
      <c r="BJ58" s="158"/>
    </row>
    <row r="59" spans="1:62" ht="12.75" customHeight="1">
      <c r="A59" s="78"/>
      <c r="B59" s="98" t="s">
        <v>351</v>
      </c>
      <c r="C59" s="98" t="s">
        <v>10</v>
      </c>
      <c r="D59" s="510">
        <v>0.55</v>
      </c>
      <c r="E59" s="510">
        <v>0.55</v>
      </c>
      <c r="F59" s="352"/>
      <c r="G59" s="143" t="s">
        <v>178</v>
      </c>
      <c r="H59" s="74" t="s">
        <v>351</v>
      </c>
      <c r="I59" s="11" t="s">
        <v>10</v>
      </c>
      <c r="J59" s="534">
        <f t="shared" si="2"/>
        <v>42</v>
      </c>
      <c r="K59" s="143" t="s">
        <v>178</v>
      </c>
      <c r="L59" s="74" t="s">
        <v>351</v>
      </c>
      <c r="M59" s="11" t="s">
        <v>10</v>
      </c>
      <c r="N59" s="158"/>
      <c r="O59" s="21"/>
      <c r="P59" s="252"/>
      <c r="Q59" s="252"/>
      <c r="R59" s="252"/>
      <c r="S59" s="252"/>
      <c r="T59" s="252"/>
      <c r="U59" s="252"/>
      <c r="V59" s="252"/>
      <c r="W59" s="143" t="s">
        <v>178</v>
      </c>
      <c r="X59" s="74" t="s">
        <v>351</v>
      </c>
      <c r="Y59" s="11" t="s">
        <v>10</v>
      </c>
      <c r="Z59" s="158">
        <v>3</v>
      </c>
      <c r="AA59" s="143" t="s">
        <v>178</v>
      </c>
      <c r="AB59" s="74" t="s">
        <v>351</v>
      </c>
      <c r="AC59" s="11" t="s">
        <v>10</v>
      </c>
      <c r="AD59" s="158">
        <v>2</v>
      </c>
      <c r="AE59" s="143" t="s">
        <v>178</v>
      </c>
      <c r="AF59" s="74" t="s">
        <v>351</v>
      </c>
      <c r="AG59" s="11" t="s">
        <v>10</v>
      </c>
      <c r="AH59" s="158">
        <v>3</v>
      </c>
      <c r="AI59" s="143" t="s">
        <v>178</v>
      </c>
      <c r="AJ59" s="74" t="s">
        <v>351</v>
      </c>
      <c r="AK59" s="11" t="s">
        <v>10</v>
      </c>
      <c r="AL59" s="158">
        <v>2</v>
      </c>
      <c r="AM59" s="143" t="s">
        <v>178</v>
      </c>
      <c r="AN59" s="74" t="s">
        <v>351</v>
      </c>
      <c r="AO59" s="11" t="s">
        <v>10</v>
      </c>
      <c r="AP59" s="158">
        <v>1</v>
      </c>
      <c r="AQ59" s="143" t="s">
        <v>178</v>
      </c>
      <c r="AR59" s="74" t="s">
        <v>351</v>
      </c>
      <c r="AS59" s="11" t="s">
        <v>10</v>
      </c>
      <c r="AT59" s="158">
        <v>3</v>
      </c>
      <c r="AU59" s="143" t="s">
        <v>178</v>
      </c>
      <c r="AV59" s="74" t="s">
        <v>351</v>
      </c>
      <c r="AW59" s="11" t="s">
        <v>10</v>
      </c>
      <c r="AX59" s="158">
        <v>3</v>
      </c>
      <c r="AY59" s="143" t="s">
        <v>178</v>
      </c>
      <c r="AZ59" s="74" t="s">
        <v>351</v>
      </c>
      <c r="BA59" s="11" t="s">
        <v>10</v>
      </c>
      <c r="BB59" s="158">
        <v>10</v>
      </c>
      <c r="BC59" s="143" t="s">
        <v>178</v>
      </c>
      <c r="BD59" s="74" t="s">
        <v>351</v>
      </c>
      <c r="BE59" s="11" t="s">
        <v>10</v>
      </c>
      <c r="BF59" s="158">
        <v>5</v>
      </c>
      <c r="BG59" s="143" t="s">
        <v>178</v>
      </c>
      <c r="BH59" s="74" t="s">
        <v>351</v>
      </c>
      <c r="BI59" s="11" t="s">
        <v>10</v>
      </c>
      <c r="BJ59" s="158">
        <v>10</v>
      </c>
    </row>
    <row r="60" spans="1:62" ht="15">
      <c r="A60" s="78"/>
      <c r="B60" s="98" t="s">
        <v>40</v>
      </c>
      <c r="C60" s="98" t="s">
        <v>20</v>
      </c>
      <c r="D60" s="510">
        <v>0.107</v>
      </c>
      <c r="E60" s="510">
        <v>0.107</v>
      </c>
      <c r="F60" s="352"/>
      <c r="G60" s="20" t="s">
        <v>142</v>
      </c>
      <c r="H60" s="74" t="s">
        <v>40</v>
      </c>
      <c r="I60" s="11" t="s">
        <v>20</v>
      </c>
      <c r="J60" s="534">
        <f t="shared" si="2"/>
        <v>59</v>
      </c>
      <c r="K60" s="20" t="s">
        <v>142</v>
      </c>
      <c r="L60" s="3" t="s">
        <v>40</v>
      </c>
      <c r="M60" s="11" t="s">
        <v>20</v>
      </c>
      <c r="N60" s="158">
        <v>2</v>
      </c>
      <c r="O60" s="21" t="e">
        <f>O58-P58</f>
        <v>#REF!</v>
      </c>
      <c r="P60" s="252"/>
      <c r="Q60" s="252"/>
      <c r="R60" s="252"/>
      <c r="S60" s="252"/>
      <c r="T60" s="252"/>
      <c r="U60" s="252"/>
      <c r="V60" s="252"/>
      <c r="W60" s="20" t="s">
        <v>142</v>
      </c>
      <c r="X60" s="3" t="s">
        <v>40</v>
      </c>
      <c r="Y60" s="11" t="s">
        <v>20</v>
      </c>
      <c r="Z60" s="158">
        <v>6</v>
      </c>
      <c r="AA60" s="20" t="s">
        <v>142</v>
      </c>
      <c r="AB60" s="3" t="s">
        <v>40</v>
      </c>
      <c r="AC60" s="11" t="s">
        <v>20</v>
      </c>
      <c r="AD60" s="158">
        <v>4</v>
      </c>
      <c r="AE60" s="20" t="s">
        <v>142</v>
      </c>
      <c r="AF60" s="3" t="s">
        <v>40</v>
      </c>
      <c r="AG60" s="11" t="s">
        <v>20</v>
      </c>
      <c r="AH60" s="158">
        <v>4</v>
      </c>
      <c r="AI60" s="20" t="s">
        <v>142</v>
      </c>
      <c r="AJ60" s="3" t="s">
        <v>40</v>
      </c>
      <c r="AK60" s="11" t="s">
        <v>20</v>
      </c>
      <c r="AL60" s="158">
        <v>6</v>
      </c>
      <c r="AM60" s="20" t="s">
        <v>142</v>
      </c>
      <c r="AN60" s="3" t="s">
        <v>40</v>
      </c>
      <c r="AO60" s="11" t="s">
        <v>20</v>
      </c>
      <c r="AP60" s="158">
        <v>1</v>
      </c>
      <c r="AQ60" s="20" t="s">
        <v>142</v>
      </c>
      <c r="AR60" s="3" t="s">
        <v>40</v>
      </c>
      <c r="AS60" s="11" t="s">
        <v>20</v>
      </c>
      <c r="AT60" s="158">
        <v>3</v>
      </c>
      <c r="AU60" s="20" t="s">
        <v>142</v>
      </c>
      <c r="AV60" s="3" t="s">
        <v>40</v>
      </c>
      <c r="AW60" s="11" t="s">
        <v>20</v>
      </c>
      <c r="AX60" s="158">
        <v>3</v>
      </c>
      <c r="AY60" s="20" t="s">
        <v>142</v>
      </c>
      <c r="AZ60" s="3" t="s">
        <v>40</v>
      </c>
      <c r="BA60" s="11" t="s">
        <v>20</v>
      </c>
      <c r="BB60" s="158">
        <v>15</v>
      </c>
      <c r="BC60" s="20" t="s">
        <v>142</v>
      </c>
      <c r="BD60" s="3" t="s">
        <v>40</v>
      </c>
      <c r="BE60" s="11" t="s">
        <v>20</v>
      </c>
      <c r="BF60" s="158">
        <v>5</v>
      </c>
      <c r="BG60" s="20" t="s">
        <v>142</v>
      </c>
      <c r="BH60" s="3" t="s">
        <v>40</v>
      </c>
      <c r="BI60" s="11" t="s">
        <v>20</v>
      </c>
      <c r="BJ60" s="158">
        <v>10</v>
      </c>
    </row>
    <row r="61" spans="1:62" ht="12.75" customHeight="1" hidden="1">
      <c r="A61" s="78"/>
      <c r="B61" s="522" t="s">
        <v>71</v>
      </c>
      <c r="C61" s="113" t="s">
        <v>20</v>
      </c>
      <c r="D61" s="319"/>
      <c r="E61" s="319"/>
      <c r="F61" s="352"/>
      <c r="G61" s="20" t="s">
        <v>143</v>
      </c>
      <c r="H61" s="74" t="s">
        <v>71</v>
      </c>
      <c r="I61" s="11" t="s">
        <v>20</v>
      </c>
      <c r="J61" s="168">
        <f t="shared" si="2"/>
        <v>0</v>
      </c>
      <c r="K61" s="20" t="s">
        <v>143</v>
      </c>
      <c r="L61" s="3" t="s">
        <v>71</v>
      </c>
      <c r="M61" s="11" t="s">
        <v>20</v>
      </c>
      <c r="N61" s="158"/>
      <c r="O61" s="21" t="e">
        <f t="shared" si="0"/>
        <v>#REF!</v>
      </c>
      <c r="P61" s="252"/>
      <c r="Q61" s="252"/>
      <c r="R61" s="252"/>
      <c r="S61" s="252"/>
      <c r="T61" s="252"/>
      <c r="U61" s="252"/>
      <c r="V61" s="252"/>
      <c r="W61" s="20" t="s">
        <v>143</v>
      </c>
      <c r="X61" s="3" t="s">
        <v>71</v>
      </c>
      <c r="Y61" s="11" t="s">
        <v>20</v>
      </c>
      <c r="Z61" s="158"/>
      <c r="AA61" s="20" t="s">
        <v>143</v>
      </c>
      <c r="AB61" s="3" t="s">
        <v>71</v>
      </c>
      <c r="AC61" s="11" t="s">
        <v>20</v>
      </c>
      <c r="AD61" s="158"/>
      <c r="AE61" s="20" t="s">
        <v>143</v>
      </c>
      <c r="AF61" s="3" t="s">
        <v>71</v>
      </c>
      <c r="AG61" s="11" t="s">
        <v>20</v>
      </c>
      <c r="AH61" s="158"/>
      <c r="AI61" s="20" t="s">
        <v>143</v>
      </c>
      <c r="AJ61" s="3" t="s">
        <v>71</v>
      </c>
      <c r="AK61" s="11" t="s">
        <v>20</v>
      </c>
      <c r="AL61" s="158"/>
      <c r="AM61" s="20" t="s">
        <v>143</v>
      </c>
      <c r="AN61" s="3" t="s">
        <v>71</v>
      </c>
      <c r="AO61" s="11" t="s">
        <v>20</v>
      </c>
      <c r="AP61" s="158"/>
      <c r="AQ61" s="20" t="s">
        <v>143</v>
      </c>
      <c r="AR61" s="3" t="s">
        <v>71</v>
      </c>
      <c r="AS61" s="11" t="s">
        <v>20</v>
      </c>
      <c r="AT61" s="158"/>
      <c r="AU61" s="20" t="s">
        <v>143</v>
      </c>
      <c r="AV61" s="3" t="s">
        <v>71</v>
      </c>
      <c r="AW61" s="11" t="s">
        <v>20</v>
      </c>
      <c r="AX61" s="158"/>
      <c r="AY61" s="20" t="s">
        <v>143</v>
      </c>
      <c r="AZ61" s="3" t="s">
        <v>71</v>
      </c>
      <c r="BA61" s="11" t="s">
        <v>20</v>
      </c>
      <c r="BB61" s="158"/>
      <c r="BC61" s="20" t="s">
        <v>143</v>
      </c>
      <c r="BD61" s="3" t="s">
        <v>71</v>
      </c>
      <c r="BE61" s="11" t="s">
        <v>20</v>
      </c>
      <c r="BF61" s="158"/>
      <c r="BG61" s="20" t="s">
        <v>143</v>
      </c>
      <c r="BH61" s="3" t="s">
        <v>71</v>
      </c>
      <c r="BI61" s="11" t="s">
        <v>20</v>
      </c>
      <c r="BJ61" s="158"/>
    </row>
    <row r="62" spans="1:62" ht="15" customHeight="1">
      <c r="A62" s="140"/>
      <c r="B62" s="110" t="s">
        <v>381</v>
      </c>
      <c r="C62" s="113" t="s">
        <v>10</v>
      </c>
      <c r="D62" s="510">
        <v>4.936</v>
      </c>
      <c r="E62" s="510">
        <v>6.331</v>
      </c>
      <c r="F62" s="352"/>
      <c r="G62" s="20" t="s">
        <v>144</v>
      </c>
      <c r="H62" s="110" t="s">
        <v>381</v>
      </c>
      <c r="I62" s="11" t="s">
        <v>23</v>
      </c>
      <c r="J62" s="168">
        <f t="shared" si="2"/>
        <v>5</v>
      </c>
      <c r="K62" s="20" t="s">
        <v>144</v>
      </c>
      <c r="L62" s="110" t="s">
        <v>381</v>
      </c>
      <c r="M62" s="11" t="s">
        <v>23</v>
      </c>
      <c r="N62" s="158"/>
      <c r="O62" s="21" t="e">
        <f t="shared" si="0"/>
        <v>#REF!</v>
      </c>
      <c r="P62" s="252"/>
      <c r="Q62" s="252"/>
      <c r="R62" s="252"/>
      <c r="S62" s="252"/>
      <c r="T62" s="252"/>
      <c r="U62" s="252"/>
      <c r="V62" s="252"/>
      <c r="W62" s="20" t="s">
        <v>144</v>
      </c>
      <c r="X62" s="110" t="s">
        <v>381</v>
      </c>
      <c r="Y62" s="11" t="s">
        <v>23</v>
      </c>
      <c r="Z62" s="158"/>
      <c r="AA62" s="20" t="s">
        <v>144</v>
      </c>
      <c r="AB62" s="110" t="s">
        <v>381</v>
      </c>
      <c r="AC62" s="11" t="s">
        <v>23</v>
      </c>
      <c r="AD62" s="158"/>
      <c r="AE62" s="20" t="s">
        <v>144</v>
      </c>
      <c r="AF62" s="110" t="s">
        <v>381</v>
      </c>
      <c r="AG62" s="11" t="s">
        <v>23</v>
      </c>
      <c r="AH62" s="158"/>
      <c r="AI62" s="20" t="s">
        <v>144</v>
      </c>
      <c r="AJ62" s="110" t="s">
        <v>381</v>
      </c>
      <c r="AK62" s="11" t="s">
        <v>23</v>
      </c>
      <c r="AL62" s="158"/>
      <c r="AM62" s="20" t="s">
        <v>144</v>
      </c>
      <c r="AN62" s="110" t="s">
        <v>381</v>
      </c>
      <c r="AO62" s="11" t="s">
        <v>23</v>
      </c>
      <c r="AP62" s="158"/>
      <c r="AQ62" s="20" t="s">
        <v>144</v>
      </c>
      <c r="AR62" s="110" t="s">
        <v>381</v>
      </c>
      <c r="AS62" s="11" t="s">
        <v>23</v>
      </c>
      <c r="AT62" s="158"/>
      <c r="AU62" s="20" t="s">
        <v>144</v>
      </c>
      <c r="AV62" s="110" t="s">
        <v>381</v>
      </c>
      <c r="AW62" s="11" t="s">
        <v>23</v>
      </c>
      <c r="AX62" s="158"/>
      <c r="AY62" s="20" t="s">
        <v>144</v>
      </c>
      <c r="AZ62" s="110" t="s">
        <v>381</v>
      </c>
      <c r="BA62" s="11" t="s">
        <v>23</v>
      </c>
      <c r="BB62" s="158">
        <v>3</v>
      </c>
      <c r="BC62" s="20" t="s">
        <v>144</v>
      </c>
      <c r="BD62" s="110" t="s">
        <v>381</v>
      </c>
      <c r="BE62" s="11" t="s">
        <v>23</v>
      </c>
      <c r="BF62" s="158"/>
      <c r="BG62" s="20" t="s">
        <v>144</v>
      </c>
      <c r="BH62" s="110" t="s">
        <v>381</v>
      </c>
      <c r="BI62" s="11" t="s">
        <v>23</v>
      </c>
      <c r="BJ62" s="158">
        <v>2</v>
      </c>
    </row>
    <row r="63" spans="1:109" s="252" customFormat="1" ht="15">
      <c r="A63" s="78"/>
      <c r="B63" s="98"/>
      <c r="C63" s="98"/>
      <c r="D63" s="100">
        <v>0</v>
      </c>
      <c r="E63" s="100">
        <v>0</v>
      </c>
      <c r="F63" s="352"/>
      <c r="G63" s="39"/>
      <c r="H63" s="329" t="s">
        <v>216</v>
      </c>
      <c r="I63" s="43"/>
      <c r="J63" s="160"/>
      <c r="K63" s="39"/>
      <c r="L63" s="41" t="s">
        <v>216</v>
      </c>
      <c r="M63" s="43"/>
      <c r="N63" s="160"/>
      <c r="O63" s="21" t="e">
        <f t="shared" si="0"/>
        <v>#REF!</v>
      </c>
      <c r="T63" s="49">
        <f>SUM(T53:T62)</f>
        <v>0</v>
      </c>
      <c r="W63" s="39"/>
      <c r="X63" s="41" t="s">
        <v>216</v>
      </c>
      <c r="Y63" s="43"/>
      <c r="Z63" s="160"/>
      <c r="AA63" s="39"/>
      <c r="AB63" s="41" t="s">
        <v>216</v>
      </c>
      <c r="AC63" s="43"/>
      <c r="AD63" s="160"/>
      <c r="AE63" s="39"/>
      <c r="AF63" s="41" t="s">
        <v>216</v>
      </c>
      <c r="AG63" s="43"/>
      <c r="AH63" s="160"/>
      <c r="AI63" s="39"/>
      <c r="AJ63" s="41" t="s">
        <v>216</v>
      </c>
      <c r="AK63" s="43"/>
      <c r="AL63" s="160"/>
      <c r="AM63" s="39"/>
      <c r="AN63" s="41" t="s">
        <v>216</v>
      </c>
      <c r="AO63" s="43"/>
      <c r="AP63" s="160"/>
      <c r="AQ63" s="39"/>
      <c r="AR63" s="41" t="s">
        <v>216</v>
      </c>
      <c r="AS63" s="43"/>
      <c r="AT63" s="160"/>
      <c r="AU63" s="39"/>
      <c r="AV63" s="41" t="s">
        <v>216</v>
      </c>
      <c r="AW63" s="43"/>
      <c r="AX63" s="160"/>
      <c r="AY63" s="39"/>
      <c r="AZ63" s="41" t="s">
        <v>216</v>
      </c>
      <c r="BA63" s="43"/>
      <c r="BB63" s="160"/>
      <c r="BC63" s="39"/>
      <c r="BD63" s="41" t="s">
        <v>216</v>
      </c>
      <c r="BE63" s="43"/>
      <c r="BF63" s="160"/>
      <c r="BG63" s="39"/>
      <c r="BH63" s="41" t="s">
        <v>216</v>
      </c>
      <c r="BI63" s="43"/>
      <c r="BJ63" s="160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49">
        <f>SUM(BX53:BX62)</f>
        <v>0</v>
      </c>
      <c r="CF63" s="49">
        <f>SUM(CF53:CF62)</f>
        <v>0</v>
      </c>
      <c r="CN63" s="49">
        <f>SUM(CN53:CN62)</f>
        <v>0</v>
      </c>
      <c r="CW63" s="49">
        <f>SUM(CW53:CW62)</f>
        <v>0</v>
      </c>
      <c r="DE63" s="49">
        <f>SUM(DE53:DE62)</f>
        <v>0</v>
      </c>
    </row>
    <row r="64" spans="1:62" s="453" customFormat="1" ht="18.75">
      <c r="A64" s="404"/>
      <c r="B64" s="395"/>
      <c r="C64" s="395"/>
      <c r="D64" s="508">
        <v>0</v>
      </c>
      <c r="E64" s="508">
        <v>0</v>
      </c>
      <c r="F64" s="466"/>
      <c r="G64" s="448"/>
      <c r="H64" s="437" t="s">
        <v>47</v>
      </c>
      <c r="I64" s="449"/>
      <c r="J64" s="450"/>
      <c r="K64" s="448"/>
      <c r="L64" s="372" t="s">
        <v>47</v>
      </c>
      <c r="M64" s="449"/>
      <c r="N64" s="450"/>
      <c r="O64" s="441" t="e">
        <f t="shared" si="0"/>
        <v>#REF!</v>
      </c>
      <c r="W64" s="448"/>
      <c r="X64" s="372" t="s">
        <v>47</v>
      </c>
      <c r="Y64" s="449"/>
      <c r="Z64" s="450"/>
      <c r="AA64" s="448"/>
      <c r="AB64" s="372" t="s">
        <v>47</v>
      </c>
      <c r="AC64" s="449"/>
      <c r="AD64" s="450"/>
      <c r="AE64" s="448"/>
      <c r="AF64" s="372" t="s">
        <v>47</v>
      </c>
      <c r="AG64" s="449"/>
      <c r="AH64" s="450"/>
      <c r="AI64" s="448"/>
      <c r="AJ64" s="372" t="s">
        <v>47</v>
      </c>
      <c r="AK64" s="449"/>
      <c r="AL64" s="450"/>
      <c r="AM64" s="448"/>
      <c r="AN64" s="372" t="s">
        <v>47</v>
      </c>
      <c r="AO64" s="449"/>
      <c r="AP64" s="450"/>
      <c r="AQ64" s="448"/>
      <c r="AR64" s="372" t="s">
        <v>47</v>
      </c>
      <c r="AS64" s="449"/>
      <c r="AT64" s="450"/>
      <c r="AU64" s="448"/>
      <c r="AV64" s="372" t="s">
        <v>47</v>
      </c>
      <c r="AW64" s="449"/>
      <c r="AX64" s="450"/>
      <c r="AY64" s="448"/>
      <c r="AZ64" s="372" t="s">
        <v>47</v>
      </c>
      <c r="BA64" s="449"/>
      <c r="BB64" s="450"/>
      <c r="BC64" s="448"/>
      <c r="BD64" s="372" t="s">
        <v>47</v>
      </c>
      <c r="BE64" s="449"/>
      <c r="BF64" s="450"/>
      <c r="BG64" s="448"/>
      <c r="BH64" s="372" t="s">
        <v>47</v>
      </c>
      <c r="BI64" s="449"/>
      <c r="BJ64" s="450"/>
    </row>
    <row r="65" spans="1:62" s="468" customFormat="1" ht="33" customHeight="1">
      <c r="A65" s="423"/>
      <c r="B65" s="426" t="s">
        <v>382</v>
      </c>
      <c r="C65" s="424" t="s">
        <v>23</v>
      </c>
      <c r="D65" s="523">
        <f>SUM(D66:D71)</f>
        <v>71.712</v>
      </c>
      <c r="E65" s="523">
        <f>SUM(E66:E71)</f>
        <v>214.902</v>
      </c>
      <c r="F65" s="481"/>
      <c r="G65" s="425" t="s">
        <v>157</v>
      </c>
      <c r="H65" s="426" t="s">
        <v>382</v>
      </c>
      <c r="I65" s="469" t="s">
        <v>23</v>
      </c>
      <c r="J65" s="573">
        <f aca="true" t="shared" si="3" ref="J65:J81">N65+Z65+AD65+AH65+AL65+AP65+AT65+AX65+BB65+BF65+BJ65</f>
        <v>16</v>
      </c>
      <c r="K65" s="425" t="s">
        <v>157</v>
      </c>
      <c r="L65" s="426" t="s">
        <v>382</v>
      </c>
      <c r="M65" s="469" t="s">
        <v>23</v>
      </c>
      <c r="N65" s="480">
        <f>N66</f>
        <v>1</v>
      </c>
      <c r="O65" s="467" t="e">
        <f t="shared" si="0"/>
        <v>#REF!</v>
      </c>
      <c r="W65" s="425" t="s">
        <v>157</v>
      </c>
      <c r="X65" s="426" t="s">
        <v>382</v>
      </c>
      <c r="Y65" s="469" t="s">
        <v>23</v>
      </c>
      <c r="Z65" s="480">
        <f>Z66</f>
        <v>2</v>
      </c>
      <c r="AA65" s="425" t="s">
        <v>157</v>
      </c>
      <c r="AB65" s="426" t="s">
        <v>382</v>
      </c>
      <c r="AC65" s="469" t="s">
        <v>23</v>
      </c>
      <c r="AD65" s="480">
        <f>AD66</f>
        <v>2</v>
      </c>
      <c r="AE65" s="425" t="s">
        <v>157</v>
      </c>
      <c r="AF65" s="426" t="s">
        <v>382</v>
      </c>
      <c r="AG65" s="469" t="s">
        <v>23</v>
      </c>
      <c r="AH65" s="480">
        <f>AH66</f>
        <v>2</v>
      </c>
      <c r="AI65" s="425" t="s">
        <v>157</v>
      </c>
      <c r="AJ65" s="426" t="s">
        <v>382</v>
      </c>
      <c r="AK65" s="469" t="s">
        <v>23</v>
      </c>
      <c r="AL65" s="480">
        <f>AL66</f>
        <v>2</v>
      </c>
      <c r="AM65" s="425" t="s">
        <v>157</v>
      </c>
      <c r="AN65" s="426" t="s">
        <v>382</v>
      </c>
      <c r="AO65" s="469" t="s">
        <v>23</v>
      </c>
      <c r="AP65" s="480">
        <f>AP66</f>
        <v>0</v>
      </c>
      <c r="AQ65" s="425" t="s">
        <v>157</v>
      </c>
      <c r="AR65" s="426" t="s">
        <v>382</v>
      </c>
      <c r="AS65" s="469" t="s">
        <v>23</v>
      </c>
      <c r="AT65" s="480">
        <f>AT66</f>
        <v>0</v>
      </c>
      <c r="AU65" s="425" t="s">
        <v>157</v>
      </c>
      <c r="AV65" s="426" t="s">
        <v>382</v>
      </c>
      <c r="AW65" s="469" t="s">
        <v>23</v>
      </c>
      <c r="AX65" s="480">
        <f>AX66</f>
        <v>1</v>
      </c>
      <c r="AY65" s="425" t="s">
        <v>157</v>
      </c>
      <c r="AZ65" s="426" t="s">
        <v>382</v>
      </c>
      <c r="BA65" s="469" t="s">
        <v>23</v>
      </c>
      <c r="BB65" s="480">
        <f>BB66</f>
        <v>2</v>
      </c>
      <c r="BC65" s="425" t="s">
        <v>157</v>
      </c>
      <c r="BD65" s="426" t="s">
        <v>382</v>
      </c>
      <c r="BE65" s="469" t="s">
        <v>23</v>
      </c>
      <c r="BF65" s="480">
        <f>BF66</f>
        <v>2</v>
      </c>
      <c r="BG65" s="425" t="s">
        <v>157</v>
      </c>
      <c r="BH65" s="426" t="s">
        <v>382</v>
      </c>
      <c r="BI65" s="469" t="s">
        <v>23</v>
      </c>
      <c r="BJ65" s="480">
        <f>BJ66</f>
        <v>2</v>
      </c>
    </row>
    <row r="66" spans="1:62" s="169" customFormat="1" ht="15">
      <c r="A66" s="516"/>
      <c r="B66" s="513" t="s">
        <v>363</v>
      </c>
      <c r="C66" s="513" t="s">
        <v>215</v>
      </c>
      <c r="D66" s="512">
        <v>47.124</v>
      </c>
      <c r="E66" s="512">
        <v>194.272</v>
      </c>
      <c r="F66" s="176"/>
      <c r="G66" s="20" t="s">
        <v>179</v>
      </c>
      <c r="H66" s="204" t="s">
        <v>363</v>
      </c>
      <c r="I66" s="369" t="s">
        <v>215</v>
      </c>
      <c r="J66" s="534">
        <f t="shared" si="3"/>
        <v>16</v>
      </c>
      <c r="K66" s="20" t="s">
        <v>179</v>
      </c>
      <c r="L66" s="204" t="s">
        <v>363</v>
      </c>
      <c r="M66" s="369" t="s">
        <v>215</v>
      </c>
      <c r="N66" s="158">
        <v>1</v>
      </c>
      <c r="O66" s="203"/>
      <c r="Q66" s="204" t="s">
        <v>363</v>
      </c>
      <c r="R66" s="369" t="s">
        <v>215</v>
      </c>
      <c r="W66" s="20" t="s">
        <v>179</v>
      </c>
      <c r="X66" s="204" t="s">
        <v>363</v>
      </c>
      <c r="Y66" s="369" t="s">
        <v>215</v>
      </c>
      <c r="Z66" s="158">
        <v>2</v>
      </c>
      <c r="AA66" s="20" t="s">
        <v>179</v>
      </c>
      <c r="AB66" s="204" t="s">
        <v>363</v>
      </c>
      <c r="AC66" s="369" t="s">
        <v>215</v>
      </c>
      <c r="AD66" s="158">
        <v>2</v>
      </c>
      <c r="AE66" s="20" t="s">
        <v>179</v>
      </c>
      <c r="AF66" s="204" t="s">
        <v>363</v>
      </c>
      <c r="AG66" s="369" t="s">
        <v>215</v>
      </c>
      <c r="AH66" s="158">
        <v>2</v>
      </c>
      <c r="AI66" s="20" t="s">
        <v>179</v>
      </c>
      <c r="AJ66" s="204" t="s">
        <v>363</v>
      </c>
      <c r="AK66" s="369" t="s">
        <v>215</v>
      </c>
      <c r="AL66" s="158">
        <v>2</v>
      </c>
      <c r="AM66" s="20" t="s">
        <v>179</v>
      </c>
      <c r="AN66" s="204" t="s">
        <v>363</v>
      </c>
      <c r="AO66" s="369" t="s">
        <v>215</v>
      </c>
      <c r="AP66" s="158"/>
      <c r="AQ66" s="20" t="s">
        <v>179</v>
      </c>
      <c r="AR66" s="204" t="s">
        <v>363</v>
      </c>
      <c r="AS66" s="369" t="s">
        <v>215</v>
      </c>
      <c r="AT66" s="158"/>
      <c r="AU66" s="20" t="s">
        <v>179</v>
      </c>
      <c r="AV66" s="204" t="s">
        <v>363</v>
      </c>
      <c r="AW66" s="369" t="s">
        <v>215</v>
      </c>
      <c r="AX66" s="158">
        <v>1</v>
      </c>
      <c r="AY66" s="20" t="s">
        <v>179</v>
      </c>
      <c r="AZ66" s="204" t="s">
        <v>363</v>
      </c>
      <c r="BA66" s="369" t="s">
        <v>215</v>
      </c>
      <c r="BB66" s="158">
        <v>2</v>
      </c>
      <c r="BC66" s="20" t="s">
        <v>179</v>
      </c>
      <c r="BD66" s="204" t="s">
        <v>363</v>
      </c>
      <c r="BE66" s="369" t="s">
        <v>215</v>
      </c>
      <c r="BF66" s="158">
        <v>2</v>
      </c>
      <c r="BG66" s="20" t="s">
        <v>179</v>
      </c>
      <c r="BH66" s="204" t="s">
        <v>363</v>
      </c>
      <c r="BI66" s="369" t="s">
        <v>215</v>
      </c>
      <c r="BJ66" s="158">
        <v>2</v>
      </c>
    </row>
    <row r="67" spans="1:62" ht="15">
      <c r="A67" s="78"/>
      <c r="B67" s="98" t="s">
        <v>48</v>
      </c>
      <c r="C67" s="98" t="s">
        <v>20</v>
      </c>
      <c r="D67" s="510">
        <v>3.152</v>
      </c>
      <c r="E67" s="510">
        <v>3.152</v>
      </c>
      <c r="F67" s="352"/>
      <c r="G67" s="20" t="s">
        <v>180</v>
      </c>
      <c r="H67" s="74" t="s">
        <v>48</v>
      </c>
      <c r="I67" s="11" t="s">
        <v>20</v>
      </c>
      <c r="J67" s="534">
        <f t="shared" si="3"/>
        <v>54</v>
      </c>
      <c r="K67" s="20" t="s">
        <v>180</v>
      </c>
      <c r="L67" s="3" t="s">
        <v>48</v>
      </c>
      <c r="M67" s="11" t="s">
        <v>20</v>
      </c>
      <c r="N67" s="158">
        <v>5</v>
      </c>
      <c r="O67" s="21">
        <f>O66-P66</f>
        <v>0</v>
      </c>
      <c r="P67" s="252"/>
      <c r="Q67" s="252"/>
      <c r="R67" s="252"/>
      <c r="S67" s="252"/>
      <c r="T67" s="252"/>
      <c r="U67" s="252"/>
      <c r="V67" s="252"/>
      <c r="W67" s="20" t="s">
        <v>180</v>
      </c>
      <c r="X67" s="3" t="s">
        <v>48</v>
      </c>
      <c r="Y67" s="11" t="s">
        <v>20</v>
      </c>
      <c r="Z67" s="158">
        <v>6</v>
      </c>
      <c r="AA67" s="20" t="s">
        <v>180</v>
      </c>
      <c r="AB67" s="3" t="s">
        <v>48</v>
      </c>
      <c r="AC67" s="11" t="s">
        <v>20</v>
      </c>
      <c r="AD67" s="158">
        <v>6</v>
      </c>
      <c r="AE67" s="20" t="s">
        <v>180</v>
      </c>
      <c r="AF67" s="3" t="s">
        <v>48</v>
      </c>
      <c r="AG67" s="11" t="s">
        <v>20</v>
      </c>
      <c r="AH67" s="158">
        <v>6</v>
      </c>
      <c r="AI67" s="20" t="s">
        <v>180</v>
      </c>
      <c r="AJ67" s="3" t="s">
        <v>48</v>
      </c>
      <c r="AK67" s="11" t="s">
        <v>20</v>
      </c>
      <c r="AL67" s="158">
        <v>6</v>
      </c>
      <c r="AM67" s="20" t="s">
        <v>180</v>
      </c>
      <c r="AN67" s="3" t="s">
        <v>48</v>
      </c>
      <c r="AO67" s="11" t="s">
        <v>20</v>
      </c>
      <c r="AP67" s="158"/>
      <c r="AQ67" s="20" t="s">
        <v>180</v>
      </c>
      <c r="AR67" s="3" t="s">
        <v>48</v>
      </c>
      <c r="AS67" s="11" t="s">
        <v>20</v>
      </c>
      <c r="AT67" s="158"/>
      <c r="AU67" s="20" t="s">
        <v>180</v>
      </c>
      <c r="AV67" s="3" t="s">
        <v>48</v>
      </c>
      <c r="AW67" s="11" t="s">
        <v>20</v>
      </c>
      <c r="AX67" s="158">
        <v>7</v>
      </c>
      <c r="AY67" s="20" t="s">
        <v>180</v>
      </c>
      <c r="AZ67" s="3" t="s">
        <v>48</v>
      </c>
      <c r="BA67" s="11" t="s">
        <v>20</v>
      </c>
      <c r="BB67" s="158">
        <v>6</v>
      </c>
      <c r="BC67" s="20" t="s">
        <v>180</v>
      </c>
      <c r="BD67" s="3" t="s">
        <v>48</v>
      </c>
      <c r="BE67" s="11" t="s">
        <v>20</v>
      </c>
      <c r="BF67" s="158">
        <v>6</v>
      </c>
      <c r="BG67" s="20" t="s">
        <v>180</v>
      </c>
      <c r="BH67" s="3" t="s">
        <v>48</v>
      </c>
      <c r="BI67" s="11" t="s">
        <v>20</v>
      </c>
      <c r="BJ67" s="158">
        <v>6</v>
      </c>
    </row>
    <row r="68" spans="1:62" ht="15">
      <c r="A68" s="78"/>
      <c r="B68" s="98" t="s">
        <v>352</v>
      </c>
      <c r="C68" s="98" t="s">
        <v>20</v>
      </c>
      <c r="D68" s="510">
        <v>3.152</v>
      </c>
      <c r="E68" s="510">
        <v>3.152</v>
      </c>
      <c r="F68" s="352"/>
      <c r="G68" s="20" t="s">
        <v>181</v>
      </c>
      <c r="H68" s="74" t="s">
        <v>353</v>
      </c>
      <c r="I68" s="11" t="s">
        <v>20</v>
      </c>
      <c r="J68" s="534">
        <f t="shared" si="3"/>
        <v>16</v>
      </c>
      <c r="K68" s="20" t="s">
        <v>181</v>
      </c>
      <c r="L68" s="74" t="s">
        <v>353</v>
      </c>
      <c r="M68" s="11" t="s">
        <v>20</v>
      </c>
      <c r="N68" s="158">
        <v>1</v>
      </c>
      <c r="O68" s="21"/>
      <c r="P68" s="252"/>
      <c r="Q68" s="252"/>
      <c r="R68" s="252"/>
      <c r="S68" s="252"/>
      <c r="T68" s="252"/>
      <c r="U68" s="252"/>
      <c r="V68" s="252"/>
      <c r="W68" s="20" t="s">
        <v>181</v>
      </c>
      <c r="X68" s="74" t="s">
        <v>353</v>
      </c>
      <c r="Y68" s="11" t="s">
        <v>20</v>
      </c>
      <c r="Z68" s="158">
        <v>2</v>
      </c>
      <c r="AA68" s="20" t="s">
        <v>181</v>
      </c>
      <c r="AB68" s="74" t="s">
        <v>353</v>
      </c>
      <c r="AC68" s="11" t="s">
        <v>20</v>
      </c>
      <c r="AD68" s="158">
        <v>2</v>
      </c>
      <c r="AE68" s="20" t="s">
        <v>181</v>
      </c>
      <c r="AF68" s="74" t="s">
        <v>353</v>
      </c>
      <c r="AG68" s="11" t="s">
        <v>20</v>
      </c>
      <c r="AH68" s="158">
        <v>2</v>
      </c>
      <c r="AI68" s="20" t="s">
        <v>181</v>
      </c>
      <c r="AJ68" s="74" t="s">
        <v>353</v>
      </c>
      <c r="AK68" s="11" t="s">
        <v>20</v>
      </c>
      <c r="AL68" s="158">
        <v>2</v>
      </c>
      <c r="AM68" s="20" t="s">
        <v>181</v>
      </c>
      <c r="AN68" s="74" t="s">
        <v>353</v>
      </c>
      <c r="AO68" s="11" t="s">
        <v>20</v>
      </c>
      <c r="AP68" s="158"/>
      <c r="AQ68" s="20" t="s">
        <v>181</v>
      </c>
      <c r="AR68" s="74" t="s">
        <v>353</v>
      </c>
      <c r="AS68" s="11" t="s">
        <v>20</v>
      </c>
      <c r="AT68" s="158"/>
      <c r="AU68" s="20" t="s">
        <v>181</v>
      </c>
      <c r="AV68" s="74" t="s">
        <v>353</v>
      </c>
      <c r="AW68" s="11" t="s">
        <v>20</v>
      </c>
      <c r="AX68" s="158">
        <v>1</v>
      </c>
      <c r="AY68" s="20" t="s">
        <v>181</v>
      </c>
      <c r="AZ68" s="74" t="s">
        <v>353</v>
      </c>
      <c r="BA68" s="11" t="s">
        <v>20</v>
      </c>
      <c r="BB68" s="158">
        <v>2</v>
      </c>
      <c r="BC68" s="20" t="s">
        <v>181</v>
      </c>
      <c r="BD68" s="74" t="s">
        <v>353</v>
      </c>
      <c r="BE68" s="11" t="s">
        <v>20</v>
      </c>
      <c r="BF68" s="158">
        <v>2</v>
      </c>
      <c r="BG68" s="20" t="s">
        <v>181</v>
      </c>
      <c r="BH68" s="74" t="s">
        <v>353</v>
      </c>
      <c r="BI68" s="11" t="s">
        <v>20</v>
      </c>
      <c r="BJ68" s="158">
        <v>2</v>
      </c>
    </row>
    <row r="69" spans="1:62" ht="15">
      <c r="A69" s="78"/>
      <c r="B69" s="98" t="s">
        <v>49</v>
      </c>
      <c r="C69" s="98" t="s">
        <v>10</v>
      </c>
      <c r="D69" s="510">
        <v>0.602</v>
      </c>
      <c r="E69" s="510">
        <v>0.602</v>
      </c>
      <c r="F69" s="352"/>
      <c r="G69" s="20" t="s">
        <v>182</v>
      </c>
      <c r="H69" s="74" t="s">
        <v>49</v>
      </c>
      <c r="I69" s="11" t="s">
        <v>10</v>
      </c>
      <c r="J69" s="534">
        <f t="shared" si="3"/>
        <v>280</v>
      </c>
      <c r="K69" s="20" t="s">
        <v>182</v>
      </c>
      <c r="L69" s="3" t="s">
        <v>49</v>
      </c>
      <c r="M69" s="11" t="s">
        <v>10</v>
      </c>
      <c r="N69" s="158">
        <v>36</v>
      </c>
      <c r="O69" s="21">
        <f>O68-P68</f>
        <v>0</v>
      </c>
      <c r="P69" s="252"/>
      <c r="Q69" s="252"/>
      <c r="R69" s="252"/>
      <c r="S69" s="252"/>
      <c r="T69" s="252"/>
      <c r="U69" s="252"/>
      <c r="V69" s="252"/>
      <c r="W69" s="20" t="s">
        <v>182</v>
      </c>
      <c r="X69" s="3" t="s">
        <v>49</v>
      </c>
      <c r="Y69" s="11" t="s">
        <v>10</v>
      </c>
      <c r="Z69" s="158">
        <v>45</v>
      </c>
      <c r="AA69" s="20" t="s">
        <v>182</v>
      </c>
      <c r="AB69" s="3" t="s">
        <v>49</v>
      </c>
      <c r="AC69" s="11" t="s">
        <v>10</v>
      </c>
      <c r="AD69" s="158">
        <v>27</v>
      </c>
      <c r="AE69" s="20" t="s">
        <v>182</v>
      </c>
      <c r="AF69" s="3" t="s">
        <v>49</v>
      </c>
      <c r="AG69" s="11" t="s">
        <v>10</v>
      </c>
      <c r="AH69" s="158">
        <v>25</v>
      </c>
      <c r="AI69" s="20" t="s">
        <v>182</v>
      </c>
      <c r="AJ69" s="3" t="s">
        <v>49</v>
      </c>
      <c r="AK69" s="11" t="s">
        <v>10</v>
      </c>
      <c r="AL69" s="158">
        <v>25</v>
      </c>
      <c r="AM69" s="20" t="s">
        <v>182</v>
      </c>
      <c r="AN69" s="3" t="s">
        <v>49</v>
      </c>
      <c r="AO69" s="11" t="s">
        <v>10</v>
      </c>
      <c r="AP69" s="158"/>
      <c r="AQ69" s="20" t="s">
        <v>182</v>
      </c>
      <c r="AR69" s="3" t="s">
        <v>49</v>
      </c>
      <c r="AS69" s="11" t="s">
        <v>10</v>
      </c>
      <c r="AT69" s="158"/>
      <c r="AU69" s="20" t="s">
        <v>182</v>
      </c>
      <c r="AV69" s="3" t="s">
        <v>49</v>
      </c>
      <c r="AW69" s="11" t="s">
        <v>10</v>
      </c>
      <c r="AX69" s="158">
        <v>36</v>
      </c>
      <c r="AY69" s="20" t="s">
        <v>182</v>
      </c>
      <c r="AZ69" s="3" t="s">
        <v>49</v>
      </c>
      <c r="BA69" s="11" t="s">
        <v>10</v>
      </c>
      <c r="BB69" s="158">
        <v>28</v>
      </c>
      <c r="BC69" s="20" t="s">
        <v>182</v>
      </c>
      <c r="BD69" s="3" t="s">
        <v>49</v>
      </c>
      <c r="BE69" s="11" t="s">
        <v>10</v>
      </c>
      <c r="BF69" s="158">
        <v>30</v>
      </c>
      <c r="BG69" s="20" t="s">
        <v>182</v>
      </c>
      <c r="BH69" s="3" t="s">
        <v>49</v>
      </c>
      <c r="BI69" s="11" t="s">
        <v>10</v>
      </c>
      <c r="BJ69" s="158">
        <v>28</v>
      </c>
    </row>
    <row r="70" spans="1:62" ht="12.75" customHeight="1">
      <c r="A70" s="78"/>
      <c r="B70" s="98" t="s">
        <v>38</v>
      </c>
      <c r="C70" s="98" t="s">
        <v>10</v>
      </c>
      <c r="D70" s="535">
        <v>6.59</v>
      </c>
      <c r="E70" s="535">
        <v>6.59</v>
      </c>
      <c r="F70" s="352"/>
      <c r="G70" s="20" t="s">
        <v>183</v>
      </c>
      <c r="H70" s="74" t="s">
        <v>38</v>
      </c>
      <c r="I70" s="11" t="s">
        <v>10</v>
      </c>
      <c r="J70" s="534">
        <f t="shared" si="3"/>
        <v>16</v>
      </c>
      <c r="K70" s="20" t="s">
        <v>183</v>
      </c>
      <c r="L70" s="3" t="s">
        <v>38</v>
      </c>
      <c r="M70" s="11" t="s">
        <v>10</v>
      </c>
      <c r="N70" s="158">
        <v>1</v>
      </c>
      <c r="O70" s="21">
        <f>O69-P69</f>
        <v>0</v>
      </c>
      <c r="P70" s="252"/>
      <c r="Q70" s="252"/>
      <c r="R70" s="252"/>
      <c r="S70" s="252"/>
      <c r="T70" s="252"/>
      <c r="U70" s="252"/>
      <c r="V70" s="252"/>
      <c r="W70" s="20" t="s">
        <v>183</v>
      </c>
      <c r="X70" s="3" t="s">
        <v>38</v>
      </c>
      <c r="Y70" s="11" t="s">
        <v>10</v>
      </c>
      <c r="Z70" s="158">
        <v>2</v>
      </c>
      <c r="AA70" s="20" t="s">
        <v>183</v>
      </c>
      <c r="AB70" s="3" t="s">
        <v>38</v>
      </c>
      <c r="AC70" s="11" t="s">
        <v>10</v>
      </c>
      <c r="AD70" s="158">
        <v>2</v>
      </c>
      <c r="AE70" s="20" t="s">
        <v>183</v>
      </c>
      <c r="AF70" s="3" t="s">
        <v>38</v>
      </c>
      <c r="AG70" s="11" t="s">
        <v>10</v>
      </c>
      <c r="AH70" s="158">
        <v>2</v>
      </c>
      <c r="AI70" s="20" t="s">
        <v>183</v>
      </c>
      <c r="AJ70" s="3" t="s">
        <v>38</v>
      </c>
      <c r="AK70" s="11" t="s">
        <v>10</v>
      </c>
      <c r="AL70" s="158">
        <v>2</v>
      </c>
      <c r="AM70" s="20" t="s">
        <v>183</v>
      </c>
      <c r="AN70" s="3" t="s">
        <v>38</v>
      </c>
      <c r="AO70" s="11" t="s">
        <v>10</v>
      </c>
      <c r="AP70" s="158"/>
      <c r="AQ70" s="20" t="s">
        <v>183</v>
      </c>
      <c r="AR70" s="3" t="s">
        <v>38</v>
      </c>
      <c r="AS70" s="11" t="s">
        <v>10</v>
      </c>
      <c r="AT70" s="158"/>
      <c r="AU70" s="20" t="s">
        <v>183</v>
      </c>
      <c r="AV70" s="3" t="s">
        <v>38</v>
      </c>
      <c r="AW70" s="11" t="s">
        <v>10</v>
      </c>
      <c r="AX70" s="158">
        <v>1</v>
      </c>
      <c r="AY70" s="20" t="s">
        <v>183</v>
      </c>
      <c r="AZ70" s="3" t="s">
        <v>38</v>
      </c>
      <c r="BA70" s="11" t="s">
        <v>10</v>
      </c>
      <c r="BB70" s="158">
        <v>2</v>
      </c>
      <c r="BC70" s="20" t="s">
        <v>183</v>
      </c>
      <c r="BD70" s="3" t="s">
        <v>38</v>
      </c>
      <c r="BE70" s="11" t="s">
        <v>10</v>
      </c>
      <c r="BF70" s="158">
        <v>2</v>
      </c>
      <c r="BG70" s="20" t="s">
        <v>183</v>
      </c>
      <c r="BH70" s="3" t="s">
        <v>38</v>
      </c>
      <c r="BI70" s="11" t="s">
        <v>10</v>
      </c>
      <c r="BJ70" s="158">
        <v>2</v>
      </c>
    </row>
    <row r="71" spans="1:62" ht="15">
      <c r="A71" s="516"/>
      <c r="B71" s="513" t="s">
        <v>45</v>
      </c>
      <c r="C71" s="513" t="s">
        <v>20</v>
      </c>
      <c r="D71" s="514">
        <v>11.092</v>
      </c>
      <c r="E71" s="514">
        <v>7.134</v>
      </c>
      <c r="F71" s="352"/>
      <c r="G71" s="20" t="s">
        <v>184</v>
      </c>
      <c r="H71" s="74" t="s">
        <v>45</v>
      </c>
      <c r="I71" s="11" t="s">
        <v>20</v>
      </c>
      <c r="J71" s="534">
        <f t="shared" si="3"/>
        <v>28</v>
      </c>
      <c r="K71" s="20" t="s">
        <v>184</v>
      </c>
      <c r="L71" s="3" t="s">
        <v>45</v>
      </c>
      <c r="M71" s="11" t="s">
        <v>20</v>
      </c>
      <c r="N71" s="719">
        <v>8</v>
      </c>
      <c r="O71" s="21">
        <f>O70-P70</f>
        <v>0</v>
      </c>
      <c r="P71" s="252"/>
      <c r="Q71" s="252"/>
      <c r="R71" s="252"/>
      <c r="S71" s="252"/>
      <c r="T71" s="252"/>
      <c r="U71" s="252"/>
      <c r="V71" s="252"/>
      <c r="W71" s="20" t="s">
        <v>184</v>
      </c>
      <c r="X71" s="3" t="s">
        <v>45</v>
      </c>
      <c r="Y71" s="11" t="s">
        <v>20</v>
      </c>
      <c r="Z71" s="158">
        <v>12</v>
      </c>
      <c r="AA71" s="20" t="s">
        <v>184</v>
      </c>
      <c r="AB71" s="3" t="s">
        <v>45</v>
      </c>
      <c r="AC71" s="11" t="s">
        <v>20</v>
      </c>
      <c r="AD71" s="158"/>
      <c r="AE71" s="20" t="s">
        <v>184</v>
      </c>
      <c r="AF71" s="3" t="s">
        <v>45</v>
      </c>
      <c r="AG71" s="11" t="s">
        <v>20</v>
      </c>
      <c r="AH71" s="158"/>
      <c r="AI71" s="20" t="s">
        <v>184</v>
      </c>
      <c r="AJ71" s="3" t="s">
        <v>45</v>
      </c>
      <c r="AK71" s="11" t="s">
        <v>20</v>
      </c>
      <c r="AL71" s="158"/>
      <c r="AM71" s="20" t="s">
        <v>184</v>
      </c>
      <c r="AN71" s="3" t="s">
        <v>45</v>
      </c>
      <c r="AO71" s="11" t="s">
        <v>20</v>
      </c>
      <c r="AP71" s="206"/>
      <c r="AQ71" s="20" t="s">
        <v>184</v>
      </c>
      <c r="AR71" s="3" t="s">
        <v>45</v>
      </c>
      <c r="AS71" s="11" t="s">
        <v>20</v>
      </c>
      <c r="AT71" s="158"/>
      <c r="AU71" s="20" t="s">
        <v>184</v>
      </c>
      <c r="AV71" s="3" t="s">
        <v>45</v>
      </c>
      <c r="AW71" s="11" t="s">
        <v>20</v>
      </c>
      <c r="AX71" s="158"/>
      <c r="AY71" s="20" t="s">
        <v>184</v>
      </c>
      <c r="AZ71" s="3" t="s">
        <v>45</v>
      </c>
      <c r="BA71" s="11" t="s">
        <v>20</v>
      </c>
      <c r="BB71" s="158"/>
      <c r="BC71" s="20" t="s">
        <v>184</v>
      </c>
      <c r="BD71" s="3" t="s">
        <v>45</v>
      </c>
      <c r="BE71" s="11" t="s">
        <v>20</v>
      </c>
      <c r="BF71" s="158"/>
      <c r="BG71" s="20" t="s">
        <v>184</v>
      </c>
      <c r="BH71" s="3" t="s">
        <v>45</v>
      </c>
      <c r="BI71" s="11" t="s">
        <v>20</v>
      </c>
      <c r="BJ71" s="158">
        <v>8</v>
      </c>
    </row>
    <row r="72" spans="1:62" s="487" customFormat="1" ht="14.25" customHeight="1">
      <c r="A72" s="423"/>
      <c r="B72" s="424" t="s">
        <v>206</v>
      </c>
      <c r="C72" s="424" t="s">
        <v>23</v>
      </c>
      <c r="D72" s="520">
        <v>1.154835</v>
      </c>
      <c r="E72" s="521">
        <v>1.154835</v>
      </c>
      <c r="F72" s="500"/>
      <c r="G72" s="482" t="s">
        <v>158</v>
      </c>
      <c r="H72" s="433" t="s">
        <v>371</v>
      </c>
      <c r="I72" s="483" t="s">
        <v>23</v>
      </c>
      <c r="J72" s="485">
        <f t="shared" si="3"/>
        <v>195</v>
      </c>
      <c r="K72" s="482" t="s">
        <v>158</v>
      </c>
      <c r="L72" s="433" t="s">
        <v>371</v>
      </c>
      <c r="M72" s="483" t="s">
        <v>23</v>
      </c>
      <c r="N72" s="499">
        <f>N73</f>
        <v>7</v>
      </c>
      <c r="O72" s="489" t="e">
        <f>O65-P65</f>
        <v>#REF!</v>
      </c>
      <c r="W72" s="482" t="s">
        <v>158</v>
      </c>
      <c r="X72" s="433" t="s">
        <v>371</v>
      </c>
      <c r="Y72" s="483" t="s">
        <v>23</v>
      </c>
      <c r="Z72" s="499">
        <v>25</v>
      </c>
      <c r="AA72" s="482" t="s">
        <v>158</v>
      </c>
      <c r="AB72" s="433" t="s">
        <v>371</v>
      </c>
      <c r="AC72" s="483" t="s">
        <v>23</v>
      </c>
      <c r="AD72" s="499">
        <f>AD73</f>
        <v>15</v>
      </c>
      <c r="AE72" s="482" t="s">
        <v>158</v>
      </c>
      <c r="AF72" s="433" t="s">
        <v>371</v>
      </c>
      <c r="AG72" s="483" t="s">
        <v>23</v>
      </c>
      <c r="AH72" s="499">
        <v>26</v>
      </c>
      <c r="AI72" s="482" t="s">
        <v>158</v>
      </c>
      <c r="AJ72" s="433" t="s">
        <v>371</v>
      </c>
      <c r="AK72" s="483" t="s">
        <v>23</v>
      </c>
      <c r="AL72" s="499">
        <v>16</v>
      </c>
      <c r="AM72" s="482" t="s">
        <v>158</v>
      </c>
      <c r="AN72" s="433" t="s">
        <v>371</v>
      </c>
      <c r="AO72" s="483" t="s">
        <v>23</v>
      </c>
      <c r="AP72" s="499">
        <v>5</v>
      </c>
      <c r="AQ72" s="482" t="s">
        <v>158</v>
      </c>
      <c r="AR72" s="433" t="s">
        <v>371</v>
      </c>
      <c r="AS72" s="483" t="s">
        <v>23</v>
      </c>
      <c r="AT72" s="499">
        <v>3</v>
      </c>
      <c r="AU72" s="482" t="s">
        <v>158</v>
      </c>
      <c r="AV72" s="433" t="s">
        <v>371</v>
      </c>
      <c r="AW72" s="483" t="s">
        <v>23</v>
      </c>
      <c r="AX72" s="499">
        <v>7</v>
      </c>
      <c r="AY72" s="482" t="s">
        <v>158</v>
      </c>
      <c r="AZ72" s="433" t="s">
        <v>371</v>
      </c>
      <c r="BA72" s="483" t="s">
        <v>23</v>
      </c>
      <c r="BB72" s="499">
        <v>36</v>
      </c>
      <c r="BC72" s="482" t="s">
        <v>158</v>
      </c>
      <c r="BD72" s="433" t="s">
        <v>371</v>
      </c>
      <c r="BE72" s="483" t="s">
        <v>23</v>
      </c>
      <c r="BF72" s="499">
        <v>19</v>
      </c>
      <c r="BG72" s="482" t="s">
        <v>158</v>
      </c>
      <c r="BH72" s="433" t="s">
        <v>371</v>
      </c>
      <c r="BI72" s="483" t="s">
        <v>23</v>
      </c>
      <c r="BJ72" s="499">
        <v>36</v>
      </c>
    </row>
    <row r="73" spans="1:62" s="169" customFormat="1" ht="16.5" customHeight="1">
      <c r="A73" s="78"/>
      <c r="B73" s="98" t="s">
        <v>364</v>
      </c>
      <c r="C73" s="98" t="s">
        <v>212</v>
      </c>
      <c r="D73" s="510">
        <v>0.26</v>
      </c>
      <c r="E73" s="510">
        <v>0.26</v>
      </c>
      <c r="F73" s="176"/>
      <c r="G73" s="83" t="s">
        <v>185</v>
      </c>
      <c r="H73" s="330" t="s">
        <v>364</v>
      </c>
      <c r="I73" s="11" t="s">
        <v>212</v>
      </c>
      <c r="J73" s="700">
        <f t="shared" si="3"/>
        <v>237</v>
      </c>
      <c r="K73" s="83" t="s">
        <v>185</v>
      </c>
      <c r="L73" s="3" t="s">
        <v>364</v>
      </c>
      <c r="M73" s="11" t="s">
        <v>212</v>
      </c>
      <c r="N73" s="158">
        <v>7</v>
      </c>
      <c r="O73" s="203"/>
      <c r="W73" s="83" t="s">
        <v>185</v>
      </c>
      <c r="X73" s="330" t="s">
        <v>364</v>
      </c>
      <c r="Y73" s="11" t="s">
        <v>212</v>
      </c>
      <c r="Z73" s="158">
        <v>50</v>
      </c>
      <c r="AA73" s="83" t="s">
        <v>185</v>
      </c>
      <c r="AB73" s="330" t="s">
        <v>364</v>
      </c>
      <c r="AC73" s="11" t="s">
        <v>212</v>
      </c>
      <c r="AD73" s="158">
        <v>15</v>
      </c>
      <c r="AE73" s="83" t="s">
        <v>185</v>
      </c>
      <c r="AF73" s="330" t="s">
        <v>364</v>
      </c>
      <c r="AG73" s="11" t="s">
        <v>212</v>
      </c>
      <c r="AH73" s="158">
        <v>26</v>
      </c>
      <c r="AI73" s="83" t="s">
        <v>185</v>
      </c>
      <c r="AJ73" s="330" t="s">
        <v>364</v>
      </c>
      <c r="AK73" s="11" t="s">
        <v>212</v>
      </c>
      <c r="AL73" s="158">
        <v>26</v>
      </c>
      <c r="AM73" s="83" t="s">
        <v>185</v>
      </c>
      <c r="AN73" s="330" t="s">
        <v>364</v>
      </c>
      <c r="AO73" s="11" t="s">
        <v>212</v>
      </c>
      <c r="AP73" s="158">
        <v>5</v>
      </c>
      <c r="AQ73" s="83" t="s">
        <v>185</v>
      </c>
      <c r="AR73" s="330" t="s">
        <v>364</v>
      </c>
      <c r="AS73" s="11" t="s">
        <v>212</v>
      </c>
      <c r="AT73" s="158">
        <v>3</v>
      </c>
      <c r="AU73" s="83" t="s">
        <v>185</v>
      </c>
      <c r="AV73" s="330" t="s">
        <v>364</v>
      </c>
      <c r="AW73" s="11" t="s">
        <v>212</v>
      </c>
      <c r="AX73" s="158">
        <v>10</v>
      </c>
      <c r="AY73" s="83" t="s">
        <v>185</v>
      </c>
      <c r="AZ73" s="330" t="s">
        <v>364</v>
      </c>
      <c r="BA73" s="11" t="s">
        <v>212</v>
      </c>
      <c r="BB73" s="158">
        <v>36</v>
      </c>
      <c r="BC73" s="83" t="s">
        <v>185</v>
      </c>
      <c r="BD73" s="330" t="s">
        <v>364</v>
      </c>
      <c r="BE73" s="11" t="s">
        <v>212</v>
      </c>
      <c r="BF73" s="158">
        <v>19</v>
      </c>
      <c r="BG73" s="83" t="s">
        <v>185</v>
      </c>
      <c r="BH73" s="330" t="s">
        <v>364</v>
      </c>
      <c r="BI73" s="11" t="s">
        <v>212</v>
      </c>
      <c r="BJ73" s="158">
        <v>40</v>
      </c>
    </row>
    <row r="74" spans="1:62" ht="15" customHeight="1">
      <c r="A74" s="78"/>
      <c r="B74" s="98" t="s">
        <v>366</v>
      </c>
      <c r="C74" s="98" t="s">
        <v>367</v>
      </c>
      <c r="D74" s="510">
        <v>0.046</v>
      </c>
      <c r="E74" s="510">
        <v>0.046</v>
      </c>
      <c r="F74" s="352"/>
      <c r="G74" s="20" t="s">
        <v>186</v>
      </c>
      <c r="H74" s="330" t="s">
        <v>366</v>
      </c>
      <c r="I74" s="11" t="s">
        <v>367</v>
      </c>
      <c r="J74" s="168">
        <f t="shared" si="3"/>
        <v>75.00999999999999</v>
      </c>
      <c r="K74" s="20" t="s">
        <v>186</v>
      </c>
      <c r="L74" s="330" t="s">
        <v>366</v>
      </c>
      <c r="M74" s="11" t="s">
        <v>367</v>
      </c>
      <c r="N74" s="158"/>
      <c r="O74" s="21"/>
      <c r="P74" s="252"/>
      <c r="Q74" s="252"/>
      <c r="R74" s="252"/>
      <c r="S74" s="252"/>
      <c r="T74" s="252"/>
      <c r="U74" s="252"/>
      <c r="V74" s="252"/>
      <c r="W74" s="20" t="s">
        <v>186</v>
      </c>
      <c r="X74" s="330" t="s">
        <v>366</v>
      </c>
      <c r="Y74" s="11" t="s">
        <v>367</v>
      </c>
      <c r="Z74" s="206">
        <v>0.01</v>
      </c>
      <c r="AA74" s="20" t="s">
        <v>186</v>
      </c>
      <c r="AB74" s="330" t="s">
        <v>366</v>
      </c>
      <c r="AC74" s="11" t="s">
        <v>367</v>
      </c>
      <c r="AD74" s="158"/>
      <c r="AE74" s="20" t="s">
        <v>186</v>
      </c>
      <c r="AF74" s="330" t="s">
        <v>366</v>
      </c>
      <c r="AG74" s="11" t="s">
        <v>367</v>
      </c>
      <c r="AH74" s="158"/>
      <c r="AI74" s="20" t="s">
        <v>186</v>
      </c>
      <c r="AJ74" s="330" t="s">
        <v>366</v>
      </c>
      <c r="AK74" s="11" t="s">
        <v>367</v>
      </c>
      <c r="AL74" s="158">
        <v>10</v>
      </c>
      <c r="AM74" s="20" t="s">
        <v>186</v>
      </c>
      <c r="AN74" s="330" t="s">
        <v>366</v>
      </c>
      <c r="AO74" s="11" t="s">
        <v>367</v>
      </c>
      <c r="AP74" s="158">
        <v>10</v>
      </c>
      <c r="AQ74" s="20" t="s">
        <v>186</v>
      </c>
      <c r="AR74" s="330" t="s">
        <v>366</v>
      </c>
      <c r="AS74" s="11" t="s">
        <v>367</v>
      </c>
      <c r="AT74" s="158">
        <v>5</v>
      </c>
      <c r="AU74" s="20" t="s">
        <v>186</v>
      </c>
      <c r="AV74" s="330" t="s">
        <v>366</v>
      </c>
      <c r="AW74" s="11" t="s">
        <v>367</v>
      </c>
      <c r="AX74" s="158">
        <v>15</v>
      </c>
      <c r="AY74" s="20" t="s">
        <v>186</v>
      </c>
      <c r="AZ74" s="330" t="s">
        <v>366</v>
      </c>
      <c r="BA74" s="11" t="s">
        <v>367</v>
      </c>
      <c r="BB74" s="158">
        <v>15</v>
      </c>
      <c r="BC74" s="20" t="s">
        <v>186</v>
      </c>
      <c r="BD74" s="330" t="s">
        <v>366</v>
      </c>
      <c r="BE74" s="11" t="s">
        <v>367</v>
      </c>
      <c r="BF74" s="158">
        <v>10</v>
      </c>
      <c r="BG74" s="20" t="s">
        <v>186</v>
      </c>
      <c r="BH74" s="330" t="s">
        <v>366</v>
      </c>
      <c r="BI74" s="11" t="s">
        <v>367</v>
      </c>
      <c r="BJ74" s="158">
        <v>10</v>
      </c>
    </row>
    <row r="75" spans="1:62" ht="15" customHeight="1">
      <c r="A75" s="78"/>
      <c r="B75" s="98" t="s">
        <v>368</v>
      </c>
      <c r="C75" s="98" t="s">
        <v>212</v>
      </c>
      <c r="D75" s="510">
        <v>0.164</v>
      </c>
      <c r="E75" s="510">
        <v>0.164</v>
      </c>
      <c r="F75" s="352"/>
      <c r="G75" s="20" t="s">
        <v>187</v>
      </c>
      <c r="H75" s="3" t="s">
        <v>368</v>
      </c>
      <c r="I75" s="11" t="s">
        <v>212</v>
      </c>
      <c r="J75" s="168">
        <f t="shared" si="3"/>
        <v>17.001</v>
      </c>
      <c r="K75" s="20" t="s">
        <v>187</v>
      </c>
      <c r="L75" s="3" t="s">
        <v>368</v>
      </c>
      <c r="M75" s="11" t="s">
        <v>212</v>
      </c>
      <c r="N75" s="158"/>
      <c r="O75" s="21"/>
      <c r="P75" s="252"/>
      <c r="Q75" s="252"/>
      <c r="R75" s="252"/>
      <c r="S75" s="252"/>
      <c r="T75" s="252"/>
      <c r="U75" s="252"/>
      <c r="V75" s="252"/>
      <c r="W75" s="20" t="s">
        <v>187</v>
      </c>
      <c r="X75" s="3" t="s">
        <v>368</v>
      </c>
      <c r="Y75" s="11" t="s">
        <v>212</v>
      </c>
      <c r="Z75" s="158"/>
      <c r="AA75" s="20" t="s">
        <v>187</v>
      </c>
      <c r="AB75" s="3" t="s">
        <v>368</v>
      </c>
      <c r="AC75" s="11" t="s">
        <v>212</v>
      </c>
      <c r="AD75" s="158"/>
      <c r="AE75" s="20" t="s">
        <v>187</v>
      </c>
      <c r="AF75" s="3" t="s">
        <v>368</v>
      </c>
      <c r="AG75" s="11" t="s">
        <v>212</v>
      </c>
      <c r="AH75" s="158"/>
      <c r="AI75" s="20" t="s">
        <v>187</v>
      </c>
      <c r="AJ75" s="3" t="s">
        <v>368</v>
      </c>
      <c r="AK75" s="11" t="s">
        <v>212</v>
      </c>
      <c r="AL75" s="158"/>
      <c r="AM75" s="20" t="s">
        <v>187</v>
      </c>
      <c r="AN75" s="3" t="s">
        <v>368</v>
      </c>
      <c r="AO75" s="11" t="s">
        <v>212</v>
      </c>
      <c r="AP75" s="158">
        <v>5</v>
      </c>
      <c r="AQ75" s="20" t="s">
        <v>187</v>
      </c>
      <c r="AR75" s="3" t="s">
        <v>368</v>
      </c>
      <c r="AS75" s="11" t="s">
        <v>212</v>
      </c>
      <c r="AT75" s="158">
        <v>0.001</v>
      </c>
      <c r="AU75" s="20" t="s">
        <v>187</v>
      </c>
      <c r="AV75" s="3" t="s">
        <v>368</v>
      </c>
      <c r="AW75" s="11" t="s">
        <v>212</v>
      </c>
      <c r="AX75" s="158">
        <v>2</v>
      </c>
      <c r="AY75" s="20" t="s">
        <v>187</v>
      </c>
      <c r="AZ75" s="3" t="s">
        <v>368</v>
      </c>
      <c r="BA75" s="11" t="s">
        <v>212</v>
      </c>
      <c r="BB75" s="158">
        <v>5</v>
      </c>
      <c r="BC75" s="20" t="s">
        <v>187</v>
      </c>
      <c r="BD75" s="3" t="s">
        <v>368</v>
      </c>
      <c r="BE75" s="11" t="s">
        <v>212</v>
      </c>
      <c r="BF75" s="158"/>
      <c r="BG75" s="20" t="s">
        <v>187</v>
      </c>
      <c r="BH75" s="3" t="s">
        <v>368</v>
      </c>
      <c r="BI75" s="11" t="s">
        <v>212</v>
      </c>
      <c r="BJ75" s="158">
        <v>5</v>
      </c>
    </row>
    <row r="76" spans="1:62" ht="15" customHeight="1">
      <c r="A76" s="299"/>
      <c r="B76" s="341" t="s">
        <v>36</v>
      </c>
      <c r="C76" s="341" t="s">
        <v>20</v>
      </c>
      <c r="D76" s="510">
        <v>0.433</v>
      </c>
      <c r="E76" s="510">
        <v>0.433</v>
      </c>
      <c r="F76" s="352"/>
      <c r="G76" s="143" t="s">
        <v>188</v>
      </c>
      <c r="H76" s="3" t="s">
        <v>36</v>
      </c>
      <c r="I76" s="11" t="s">
        <v>20</v>
      </c>
      <c r="J76" s="168">
        <f t="shared" si="3"/>
        <v>135</v>
      </c>
      <c r="K76" s="143" t="s">
        <v>188</v>
      </c>
      <c r="L76" s="3" t="s">
        <v>36</v>
      </c>
      <c r="M76" s="11" t="s">
        <v>20</v>
      </c>
      <c r="N76" s="158"/>
      <c r="O76" s="21"/>
      <c r="P76" s="252"/>
      <c r="Q76" s="252"/>
      <c r="R76" s="252"/>
      <c r="S76" s="252"/>
      <c r="T76" s="252"/>
      <c r="U76" s="252"/>
      <c r="V76" s="252"/>
      <c r="W76" s="143" t="s">
        <v>188</v>
      </c>
      <c r="X76" s="3" t="s">
        <v>36</v>
      </c>
      <c r="Y76" s="11" t="s">
        <v>20</v>
      </c>
      <c r="Z76" s="158">
        <v>15</v>
      </c>
      <c r="AA76" s="143" t="s">
        <v>188</v>
      </c>
      <c r="AB76" s="3" t="s">
        <v>36</v>
      </c>
      <c r="AC76" s="11" t="s">
        <v>20</v>
      </c>
      <c r="AD76" s="158"/>
      <c r="AE76" s="143" t="s">
        <v>188</v>
      </c>
      <c r="AF76" s="3" t="s">
        <v>36</v>
      </c>
      <c r="AG76" s="11" t="s">
        <v>20</v>
      </c>
      <c r="AH76" s="158"/>
      <c r="AI76" s="143" t="s">
        <v>188</v>
      </c>
      <c r="AJ76" s="3" t="s">
        <v>36</v>
      </c>
      <c r="AK76" s="11" t="s">
        <v>20</v>
      </c>
      <c r="AL76" s="158"/>
      <c r="AM76" s="143" t="s">
        <v>188</v>
      </c>
      <c r="AN76" s="3" t="s">
        <v>36</v>
      </c>
      <c r="AO76" s="11" t="s">
        <v>20</v>
      </c>
      <c r="AP76" s="158">
        <v>50</v>
      </c>
      <c r="AQ76" s="143" t="s">
        <v>188</v>
      </c>
      <c r="AR76" s="3" t="s">
        <v>36</v>
      </c>
      <c r="AS76" s="11" t="s">
        <v>20</v>
      </c>
      <c r="AT76" s="158">
        <v>10</v>
      </c>
      <c r="AU76" s="143" t="s">
        <v>188</v>
      </c>
      <c r="AV76" s="3" t="s">
        <v>36</v>
      </c>
      <c r="AW76" s="11" t="s">
        <v>20</v>
      </c>
      <c r="AX76" s="158">
        <v>50</v>
      </c>
      <c r="AY76" s="143" t="s">
        <v>188</v>
      </c>
      <c r="AZ76" s="3" t="s">
        <v>36</v>
      </c>
      <c r="BA76" s="11" t="s">
        <v>20</v>
      </c>
      <c r="BB76" s="158"/>
      <c r="BC76" s="143" t="s">
        <v>188</v>
      </c>
      <c r="BD76" s="3" t="s">
        <v>36</v>
      </c>
      <c r="BE76" s="11" t="s">
        <v>20</v>
      </c>
      <c r="BF76" s="158"/>
      <c r="BG76" s="143" t="s">
        <v>188</v>
      </c>
      <c r="BH76" s="3" t="s">
        <v>36</v>
      </c>
      <c r="BI76" s="11" t="s">
        <v>20</v>
      </c>
      <c r="BJ76" s="158">
        <v>10</v>
      </c>
    </row>
    <row r="77" spans="1:62" ht="12.75" customHeight="1">
      <c r="A77" s="78"/>
      <c r="B77" s="98" t="s">
        <v>351</v>
      </c>
      <c r="C77" s="98" t="s">
        <v>10</v>
      </c>
      <c r="D77" s="510">
        <v>0.738</v>
      </c>
      <c r="E77" s="510">
        <v>0.738</v>
      </c>
      <c r="F77" s="352"/>
      <c r="G77" s="143" t="s">
        <v>189</v>
      </c>
      <c r="H77" s="74" t="s">
        <v>351</v>
      </c>
      <c r="I77" s="11" t="s">
        <v>10</v>
      </c>
      <c r="J77" s="168">
        <f t="shared" si="3"/>
        <v>49</v>
      </c>
      <c r="K77" s="143" t="s">
        <v>189</v>
      </c>
      <c r="L77" s="74" t="s">
        <v>351</v>
      </c>
      <c r="M77" s="11" t="s">
        <v>10</v>
      </c>
      <c r="N77" s="158"/>
      <c r="O77" s="21"/>
      <c r="P77" s="252"/>
      <c r="Q77" s="252"/>
      <c r="R77" s="252"/>
      <c r="S77" s="252"/>
      <c r="T77" s="252"/>
      <c r="U77" s="252"/>
      <c r="V77" s="252"/>
      <c r="W77" s="143" t="s">
        <v>189</v>
      </c>
      <c r="X77" s="74" t="s">
        <v>351</v>
      </c>
      <c r="Y77" s="11" t="s">
        <v>10</v>
      </c>
      <c r="Z77" s="158">
        <v>5</v>
      </c>
      <c r="AA77" s="143" t="s">
        <v>189</v>
      </c>
      <c r="AB77" s="74" t="s">
        <v>351</v>
      </c>
      <c r="AC77" s="11" t="s">
        <v>10</v>
      </c>
      <c r="AD77" s="158"/>
      <c r="AE77" s="143" t="s">
        <v>189</v>
      </c>
      <c r="AF77" s="74" t="s">
        <v>351</v>
      </c>
      <c r="AG77" s="11" t="s">
        <v>10</v>
      </c>
      <c r="AH77" s="158">
        <v>10</v>
      </c>
      <c r="AI77" s="143" t="s">
        <v>189</v>
      </c>
      <c r="AJ77" s="74" t="s">
        <v>351</v>
      </c>
      <c r="AK77" s="11" t="s">
        <v>10</v>
      </c>
      <c r="AL77" s="158">
        <v>6</v>
      </c>
      <c r="AM77" s="143" t="s">
        <v>189</v>
      </c>
      <c r="AN77" s="74" t="s">
        <v>351</v>
      </c>
      <c r="AO77" s="11" t="s">
        <v>10</v>
      </c>
      <c r="AP77" s="158">
        <v>2</v>
      </c>
      <c r="AQ77" s="143" t="s">
        <v>189</v>
      </c>
      <c r="AR77" s="74" t="s">
        <v>351</v>
      </c>
      <c r="AS77" s="11" t="s">
        <v>10</v>
      </c>
      <c r="AT77" s="158">
        <v>1</v>
      </c>
      <c r="AU77" s="143" t="s">
        <v>189</v>
      </c>
      <c r="AV77" s="74" t="s">
        <v>351</v>
      </c>
      <c r="AW77" s="11" t="s">
        <v>10</v>
      </c>
      <c r="AX77" s="158"/>
      <c r="AY77" s="143" t="s">
        <v>189</v>
      </c>
      <c r="AZ77" s="74" t="s">
        <v>351</v>
      </c>
      <c r="BA77" s="11" t="s">
        <v>10</v>
      </c>
      <c r="BB77" s="158">
        <v>10</v>
      </c>
      <c r="BC77" s="143" t="s">
        <v>189</v>
      </c>
      <c r="BD77" s="74" t="s">
        <v>351</v>
      </c>
      <c r="BE77" s="11" t="s">
        <v>10</v>
      </c>
      <c r="BF77" s="158">
        <v>5</v>
      </c>
      <c r="BG77" s="143" t="s">
        <v>189</v>
      </c>
      <c r="BH77" s="74" t="s">
        <v>351</v>
      </c>
      <c r="BI77" s="11" t="s">
        <v>10</v>
      </c>
      <c r="BJ77" s="158">
        <v>10</v>
      </c>
    </row>
    <row r="78" spans="1:62" ht="15" customHeight="1" hidden="1">
      <c r="A78" s="78"/>
      <c r="B78" s="98" t="s">
        <v>369</v>
      </c>
      <c r="C78" s="98" t="s">
        <v>10</v>
      </c>
      <c r="D78" s="510">
        <v>0.038</v>
      </c>
      <c r="E78" s="510">
        <v>0.038</v>
      </c>
      <c r="F78" s="352"/>
      <c r="G78" s="143" t="s">
        <v>190</v>
      </c>
      <c r="H78" s="3" t="s">
        <v>369</v>
      </c>
      <c r="I78" s="11" t="s">
        <v>10</v>
      </c>
      <c r="J78" s="168">
        <f t="shared" si="3"/>
        <v>0</v>
      </c>
      <c r="K78" s="143" t="s">
        <v>190</v>
      </c>
      <c r="L78" s="3" t="s">
        <v>369</v>
      </c>
      <c r="M78" s="11" t="s">
        <v>10</v>
      </c>
      <c r="N78" s="158"/>
      <c r="O78" s="21"/>
      <c r="P78" s="252"/>
      <c r="Q78" s="252"/>
      <c r="R78" s="252"/>
      <c r="S78" s="252"/>
      <c r="T78" s="252"/>
      <c r="U78" s="252"/>
      <c r="V78" s="252"/>
      <c r="W78" s="143" t="s">
        <v>190</v>
      </c>
      <c r="X78" s="3" t="s">
        <v>369</v>
      </c>
      <c r="Y78" s="11" t="s">
        <v>10</v>
      </c>
      <c r="Z78" s="158"/>
      <c r="AA78" s="143" t="s">
        <v>190</v>
      </c>
      <c r="AB78" s="3" t="s">
        <v>369</v>
      </c>
      <c r="AC78" s="11" t="s">
        <v>10</v>
      </c>
      <c r="AD78" s="158"/>
      <c r="AE78" s="143" t="s">
        <v>190</v>
      </c>
      <c r="AF78" s="3" t="s">
        <v>369</v>
      </c>
      <c r="AG78" s="11" t="s">
        <v>10</v>
      </c>
      <c r="AH78" s="158"/>
      <c r="AI78" s="143" t="s">
        <v>190</v>
      </c>
      <c r="AJ78" s="3" t="s">
        <v>369</v>
      </c>
      <c r="AK78" s="11" t="s">
        <v>10</v>
      </c>
      <c r="AL78" s="158"/>
      <c r="AM78" s="143" t="s">
        <v>190</v>
      </c>
      <c r="AN78" s="3" t="s">
        <v>369</v>
      </c>
      <c r="AO78" s="11" t="s">
        <v>10</v>
      </c>
      <c r="AP78" s="158"/>
      <c r="AQ78" s="143" t="s">
        <v>190</v>
      </c>
      <c r="AR78" s="3" t="s">
        <v>369</v>
      </c>
      <c r="AS78" s="11" t="s">
        <v>10</v>
      </c>
      <c r="AT78" s="158"/>
      <c r="AU78" s="143" t="s">
        <v>190</v>
      </c>
      <c r="AV78" s="3" t="s">
        <v>369</v>
      </c>
      <c r="AW78" s="11" t="s">
        <v>10</v>
      </c>
      <c r="AX78" s="158"/>
      <c r="AY78" s="143" t="s">
        <v>190</v>
      </c>
      <c r="AZ78" s="3" t="s">
        <v>369</v>
      </c>
      <c r="BA78" s="11" t="s">
        <v>10</v>
      </c>
      <c r="BB78" s="158"/>
      <c r="BC78" s="143" t="s">
        <v>190</v>
      </c>
      <c r="BD78" s="3" t="s">
        <v>369</v>
      </c>
      <c r="BE78" s="11" t="s">
        <v>10</v>
      </c>
      <c r="BF78" s="158"/>
      <c r="BG78" s="143" t="s">
        <v>190</v>
      </c>
      <c r="BH78" s="3" t="s">
        <v>369</v>
      </c>
      <c r="BI78" s="11" t="s">
        <v>10</v>
      </c>
      <c r="BJ78" s="158"/>
    </row>
    <row r="79" spans="1:62" ht="12.75" customHeight="1">
      <c r="A79" s="78"/>
      <c r="B79" s="98" t="s">
        <v>344</v>
      </c>
      <c r="C79" s="98" t="s">
        <v>10</v>
      </c>
      <c r="D79" s="510">
        <v>0.484</v>
      </c>
      <c r="E79" s="510">
        <v>0.484</v>
      </c>
      <c r="F79" s="352"/>
      <c r="G79" s="143" t="s">
        <v>191</v>
      </c>
      <c r="H79" s="74" t="s">
        <v>344</v>
      </c>
      <c r="I79" s="11" t="s">
        <v>10</v>
      </c>
      <c r="J79" s="534">
        <f t="shared" si="3"/>
        <v>44</v>
      </c>
      <c r="K79" s="143" t="s">
        <v>191</v>
      </c>
      <c r="L79" s="74" t="s">
        <v>344</v>
      </c>
      <c r="M79" s="11" t="s">
        <v>10</v>
      </c>
      <c r="N79" s="158">
        <v>2</v>
      </c>
      <c r="O79" s="21"/>
      <c r="P79" s="252"/>
      <c r="Q79" s="252"/>
      <c r="R79" s="252"/>
      <c r="S79" s="252"/>
      <c r="T79" s="252"/>
      <c r="U79" s="252"/>
      <c r="V79" s="252"/>
      <c r="W79" s="143" t="s">
        <v>191</v>
      </c>
      <c r="X79" s="74" t="s">
        <v>344</v>
      </c>
      <c r="Y79" s="11" t="s">
        <v>10</v>
      </c>
      <c r="Z79" s="158">
        <v>6</v>
      </c>
      <c r="AA79" s="143" t="s">
        <v>191</v>
      </c>
      <c r="AB79" s="74" t="s">
        <v>344</v>
      </c>
      <c r="AC79" s="11" t="s">
        <v>10</v>
      </c>
      <c r="AD79" s="158">
        <v>2</v>
      </c>
      <c r="AE79" s="143" t="s">
        <v>191</v>
      </c>
      <c r="AF79" s="74" t="s">
        <v>344</v>
      </c>
      <c r="AG79" s="11" t="s">
        <v>10</v>
      </c>
      <c r="AH79" s="158">
        <v>10</v>
      </c>
      <c r="AI79" s="143" t="s">
        <v>191</v>
      </c>
      <c r="AJ79" s="74" t="s">
        <v>344</v>
      </c>
      <c r="AK79" s="11" t="s">
        <v>10</v>
      </c>
      <c r="AL79" s="158">
        <v>8</v>
      </c>
      <c r="AM79" s="143" t="s">
        <v>191</v>
      </c>
      <c r="AN79" s="74" t="s">
        <v>344</v>
      </c>
      <c r="AO79" s="11" t="s">
        <v>10</v>
      </c>
      <c r="AP79" s="158">
        <v>2</v>
      </c>
      <c r="AQ79" s="143" t="s">
        <v>191</v>
      </c>
      <c r="AR79" s="74" t="s">
        <v>344</v>
      </c>
      <c r="AS79" s="11" t="s">
        <v>10</v>
      </c>
      <c r="AT79" s="158">
        <f>2+3</f>
        <v>5</v>
      </c>
      <c r="AU79" s="143" t="s">
        <v>191</v>
      </c>
      <c r="AV79" s="74" t="s">
        <v>344</v>
      </c>
      <c r="AW79" s="11" t="s">
        <v>10</v>
      </c>
      <c r="AX79" s="158">
        <v>2</v>
      </c>
      <c r="AY79" s="143" t="s">
        <v>191</v>
      </c>
      <c r="AZ79" s="74" t="s">
        <v>344</v>
      </c>
      <c r="BA79" s="11" t="s">
        <v>10</v>
      </c>
      <c r="BB79" s="158">
        <v>2</v>
      </c>
      <c r="BC79" s="143" t="s">
        <v>191</v>
      </c>
      <c r="BD79" s="74" t="s">
        <v>344</v>
      </c>
      <c r="BE79" s="11" t="s">
        <v>10</v>
      </c>
      <c r="BF79" s="158">
        <v>3</v>
      </c>
      <c r="BG79" s="143" t="s">
        <v>191</v>
      </c>
      <c r="BH79" s="74" t="s">
        <v>344</v>
      </c>
      <c r="BI79" s="11" t="s">
        <v>10</v>
      </c>
      <c r="BJ79" s="158">
        <v>2</v>
      </c>
    </row>
    <row r="80" spans="1:62" ht="15.75" customHeight="1">
      <c r="A80" s="78"/>
      <c r="B80" s="84" t="s">
        <v>48</v>
      </c>
      <c r="C80" s="98" t="s">
        <v>10</v>
      </c>
      <c r="D80" s="510">
        <v>3.152</v>
      </c>
      <c r="E80" s="510">
        <v>3.152</v>
      </c>
      <c r="F80" s="352"/>
      <c r="G80" s="143" t="s">
        <v>192</v>
      </c>
      <c r="H80" s="74" t="s">
        <v>48</v>
      </c>
      <c r="I80" s="11" t="s">
        <v>10</v>
      </c>
      <c r="J80" s="168">
        <f t="shared" si="3"/>
        <v>20</v>
      </c>
      <c r="K80" s="143" t="s">
        <v>192</v>
      </c>
      <c r="L80" s="74" t="s">
        <v>354</v>
      </c>
      <c r="M80" s="11" t="s">
        <v>10</v>
      </c>
      <c r="N80" s="158"/>
      <c r="O80" s="21"/>
      <c r="P80" s="252"/>
      <c r="Q80" s="252"/>
      <c r="R80" s="252"/>
      <c r="S80" s="252"/>
      <c r="T80" s="252"/>
      <c r="U80" s="252"/>
      <c r="V80" s="252"/>
      <c r="W80" s="143" t="s">
        <v>192</v>
      </c>
      <c r="X80" s="74" t="s">
        <v>354</v>
      </c>
      <c r="Y80" s="11" t="s">
        <v>10</v>
      </c>
      <c r="Z80" s="158">
        <v>2</v>
      </c>
      <c r="AA80" s="143" t="s">
        <v>192</v>
      </c>
      <c r="AB80" s="74" t="s">
        <v>354</v>
      </c>
      <c r="AC80" s="11" t="s">
        <v>10</v>
      </c>
      <c r="AD80" s="158">
        <v>6</v>
      </c>
      <c r="AE80" s="143" t="s">
        <v>192</v>
      </c>
      <c r="AF80" s="74" t="s">
        <v>354</v>
      </c>
      <c r="AG80" s="11" t="s">
        <v>10</v>
      </c>
      <c r="AH80" s="158">
        <v>2</v>
      </c>
      <c r="AI80" s="143" t="s">
        <v>192</v>
      </c>
      <c r="AJ80" s="74" t="s">
        <v>354</v>
      </c>
      <c r="AK80" s="11" t="s">
        <v>10</v>
      </c>
      <c r="AL80" s="158">
        <v>3</v>
      </c>
      <c r="AM80" s="143" t="s">
        <v>192</v>
      </c>
      <c r="AN80" s="74" t="s">
        <v>354</v>
      </c>
      <c r="AO80" s="11" t="s">
        <v>10</v>
      </c>
      <c r="AP80" s="158">
        <v>2</v>
      </c>
      <c r="AQ80" s="143" t="s">
        <v>192</v>
      </c>
      <c r="AR80" s="74" t="s">
        <v>354</v>
      </c>
      <c r="AS80" s="11" t="s">
        <v>10</v>
      </c>
      <c r="AT80" s="158"/>
      <c r="AU80" s="143" t="s">
        <v>192</v>
      </c>
      <c r="AV80" s="74" t="s">
        <v>354</v>
      </c>
      <c r="AW80" s="11" t="s">
        <v>10</v>
      </c>
      <c r="AX80" s="158"/>
      <c r="AY80" s="143" t="s">
        <v>192</v>
      </c>
      <c r="AZ80" s="74" t="s">
        <v>354</v>
      </c>
      <c r="BA80" s="11" t="s">
        <v>10</v>
      </c>
      <c r="BB80" s="158">
        <v>2</v>
      </c>
      <c r="BC80" s="143" t="s">
        <v>192</v>
      </c>
      <c r="BD80" s="74" t="s">
        <v>354</v>
      </c>
      <c r="BE80" s="11" t="s">
        <v>10</v>
      </c>
      <c r="BF80" s="158"/>
      <c r="BG80" s="143" t="s">
        <v>192</v>
      </c>
      <c r="BH80" s="74" t="s">
        <v>354</v>
      </c>
      <c r="BI80" s="11" t="s">
        <v>10</v>
      </c>
      <c r="BJ80" s="158">
        <v>3</v>
      </c>
    </row>
    <row r="81" spans="1:62" ht="15.75" hidden="1">
      <c r="A81" s="78"/>
      <c r="B81" s="84" t="s">
        <v>49</v>
      </c>
      <c r="C81" s="98" t="s">
        <v>10</v>
      </c>
      <c r="D81" s="510">
        <v>0.602</v>
      </c>
      <c r="E81" s="510">
        <v>0.602</v>
      </c>
      <c r="F81" s="352"/>
      <c r="G81" s="20" t="s">
        <v>193</v>
      </c>
      <c r="H81" s="3" t="s">
        <v>49</v>
      </c>
      <c r="I81" s="11" t="s">
        <v>10</v>
      </c>
      <c r="J81" s="168">
        <f t="shared" si="3"/>
        <v>0</v>
      </c>
      <c r="K81" s="20" t="s">
        <v>193</v>
      </c>
      <c r="L81" s="3" t="s">
        <v>49</v>
      </c>
      <c r="M81" s="11" t="s">
        <v>10</v>
      </c>
      <c r="N81" s="158"/>
      <c r="O81" s="21" t="e">
        <f>#REF!-#REF!</f>
        <v>#REF!</v>
      </c>
      <c r="P81" s="252"/>
      <c r="Q81" s="252"/>
      <c r="R81" s="252"/>
      <c r="S81" s="252"/>
      <c r="T81" s="252"/>
      <c r="U81" s="252"/>
      <c r="V81" s="252"/>
      <c r="W81" s="20" t="s">
        <v>193</v>
      </c>
      <c r="X81" s="3" t="s">
        <v>49</v>
      </c>
      <c r="Y81" s="11" t="s">
        <v>10</v>
      </c>
      <c r="Z81" s="158"/>
      <c r="AA81" s="20" t="s">
        <v>193</v>
      </c>
      <c r="AB81" s="3" t="s">
        <v>49</v>
      </c>
      <c r="AC81" s="11" t="s">
        <v>10</v>
      </c>
      <c r="AD81" s="158"/>
      <c r="AE81" s="20" t="s">
        <v>193</v>
      </c>
      <c r="AF81" s="3" t="s">
        <v>49</v>
      </c>
      <c r="AG81" s="11" t="s">
        <v>10</v>
      </c>
      <c r="AH81" s="158"/>
      <c r="AI81" s="20" t="s">
        <v>193</v>
      </c>
      <c r="AJ81" s="3" t="s">
        <v>49</v>
      </c>
      <c r="AK81" s="11" t="s">
        <v>10</v>
      </c>
      <c r="AL81" s="158"/>
      <c r="AM81" s="20" t="s">
        <v>193</v>
      </c>
      <c r="AN81" s="3" t="s">
        <v>49</v>
      </c>
      <c r="AO81" s="11" t="s">
        <v>10</v>
      </c>
      <c r="AP81" s="158"/>
      <c r="AQ81" s="20" t="s">
        <v>193</v>
      </c>
      <c r="AR81" s="3" t="s">
        <v>49</v>
      </c>
      <c r="AS81" s="11" t="s">
        <v>10</v>
      </c>
      <c r="AT81" s="158"/>
      <c r="AU81" s="20" t="s">
        <v>193</v>
      </c>
      <c r="AV81" s="3" t="s">
        <v>49</v>
      </c>
      <c r="AW81" s="11" t="s">
        <v>10</v>
      </c>
      <c r="AX81" s="158"/>
      <c r="AY81" s="20" t="s">
        <v>193</v>
      </c>
      <c r="AZ81" s="3" t="s">
        <v>49</v>
      </c>
      <c r="BA81" s="11" t="s">
        <v>10</v>
      </c>
      <c r="BB81" s="158"/>
      <c r="BC81" s="20" t="s">
        <v>193</v>
      </c>
      <c r="BD81" s="3" t="s">
        <v>49</v>
      </c>
      <c r="BE81" s="11" t="s">
        <v>10</v>
      </c>
      <c r="BF81" s="158"/>
      <c r="BG81" s="20" t="s">
        <v>193</v>
      </c>
      <c r="BH81" s="3" t="s">
        <v>49</v>
      </c>
      <c r="BI81" s="11" t="s">
        <v>10</v>
      </c>
      <c r="BJ81" s="158"/>
    </row>
    <row r="82" spans="1:62" s="682" customFormat="1" ht="18.75">
      <c r="A82" s="586"/>
      <c r="B82" s="679" t="s">
        <v>370</v>
      </c>
      <c r="C82" s="588"/>
      <c r="D82" s="589"/>
      <c r="E82" s="589"/>
      <c r="F82" s="680"/>
      <c r="G82" s="594" t="s">
        <v>159</v>
      </c>
      <c r="H82" s="587" t="s">
        <v>370</v>
      </c>
      <c r="I82" s="590"/>
      <c r="J82" s="681"/>
      <c r="K82" s="594" t="s">
        <v>159</v>
      </c>
      <c r="L82" s="587" t="s">
        <v>370</v>
      </c>
      <c r="M82" s="590"/>
      <c r="N82" s="683"/>
      <c r="O82" s="237"/>
      <c r="W82" s="594" t="s">
        <v>159</v>
      </c>
      <c r="X82" s="587" t="s">
        <v>370</v>
      </c>
      <c r="Y82" s="590"/>
      <c r="Z82" s="683"/>
      <c r="AA82" s="594" t="s">
        <v>159</v>
      </c>
      <c r="AB82" s="587" t="s">
        <v>370</v>
      </c>
      <c r="AC82" s="590"/>
      <c r="AD82" s="683"/>
      <c r="AE82" s="594" t="s">
        <v>159</v>
      </c>
      <c r="AF82" s="587" t="s">
        <v>370</v>
      </c>
      <c r="AG82" s="590"/>
      <c r="AH82" s="683"/>
      <c r="AI82" s="594" t="s">
        <v>159</v>
      </c>
      <c r="AJ82" s="587" t="s">
        <v>370</v>
      </c>
      <c r="AK82" s="590"/>
      <c r="AL82" s="683"/>
      <c r="AM82" s="594" t="s">
        <v>159</v>
      </c>
      <c r="AN82" s="587" t="s">
        <v>370</v>
      </c>
      <c r="AO82" s="590"/>
      <c r="AP82" s="683"/>
      <c r="AQ82" s="594" t="s">
        <v>159</v>
      </c>
      <c r="AR82" s="587" t="s">
        <v>370</v>
      </c>
      <c r="AS82" s="590"/>
      <c r="AT82" s="683"/>
      <c r="AU82" s="594" t="s">
        <v>159</v>
      </c>
      <c r="AV82" s="587" t="s">
        <v>370</v>
      </c>
      <c r="AW82" s="590"/>
      <c r="AX82" s="683"/>
      <c r="AY82" s="594" t="s">
        <v>159</v>
      </c>
      <c r="AZ82" s="587" t="s">
        <v>370</v>
      </c>
      <c r="BA82" s="590"/>
      <c r="BB82" s="683"/>
      <c r="BC82" s="594" t="s">
        <v>159</v>
      </c>
      <c r="BD82" s="587" t="s">
        <v>370</v>
      </c>
      <c r="BE82" s="590"/>
      <c r="BF82" s="683"/>
      <c r="BG82" s="594" t="s">
        <v>159</v>
      </c>
      <c r="BH82" s="587" t="s">
        <v>370</v>
      </c>
      <c r="BI82" s="590"/>
      <c r="BJ82" s="683"/>
    </row>
    <row r="83" spans="1:62" s="169" customFormat="1" ht="12.75" customHeight="1" hidden="1">
      <c r="A83" s="78"/>
      <c r="B83" s="338" t="s">
        <v>380</v>
      </c>
      <c r="C83" s="98" t="s">
        <v>10</v>
      </c>
      <c r="D83" s="510">
        <v>1.395</v>
      </c>
      <c r="E83" s="510">
        <v>1.395</v>
      </c>
      <c r="F83" s="176"/>
      <c r="G83" s="20" t="s">
        <v>395</v>
      </c>
      <c r="H83" s="74" t="s">
        <v>69</v>
      </c>
      <c r="I83" s="11" t="s">
        <v>10</v>
      </c>
      <c r="J83" s="534">
        <f>N83+Z83+AD83+AH83+AL83+AP83+AT83+AX83+BB83+BF83+BJ83</f>
        <v>0</v>
      </c>
      <c r="K83" s="20" t="s">
        <v>395</v>
      </c>
      <c r="L83" s="3" t="s">
        <v>69</v>
      </c>
      <c r="M83" s="11" t="s">
        <v>10</v>
      </c>
      <c r="N83" s="158"/>
      <c r="O83" s="10" t="e">
        <f>#REF!-#REF!</f>
        <v>#REF!</v>
      </c>
      <c r="W83" s="20" t="s">
        <v>395</v>
      </c>
      <c r="X83" s="3" t="s">
        <v>69</v>
      </c>
      <c r="Y83" s="11" t="s">
        <v>10</v>
      </c>
      <c r="Z83" s="158"/>
      <c r="AA83" s="20" t="s">
        <v>395</v>
      </c>
      <c r="AB83" s="3" t="s">
        <v>69</v>
      </c>
      <c r="AC83" s="11" t="s">
        <v>10</v>
      </c>
      <c r="AD83" s="158"/>
      <c r="AE83" s="20" t="s">
        <v>395</v>
      </c>
      <c r="AF83" s="3" t="s">
        <v>69</v>
      </c>
      <c r="AG83" s="11" t="s">
        <v>10</v>
      </c>
      <c r="AH83" s="158"/>
      <c r="AI83" s="20" t="s">
        <v>395</v>
      </c>
      <c r="AJ83" s="3" t="s">
        <v>69</v>
      </c>
      <c r="AK83" s="11" t="s">
        <v>10</v>
      </c>
      <c r="AL83" s="158"/>
      <c r="AM83" s="20" t="s">
        <v>395</v>
      </c>
      <c r="AN83" s="3" t="s">
        <v>69</v>
      </c>
      <c r="AO83" s="11" t="s">
        <v>10</v>
      </c>
      <c r="AP83" s="158"/>
      <c r="AQ83" s="20" t="s">
        <v>395</v>
      </c>
      <c r="AR83" s="3" t="s">
        <v>69</v>
      </c>
      <c r="AS83" s="11" t="s">
        <v>10</v>
      </c>
      <c r="AT83" s="158"/>
      <c r="AU83" s="20" t="s">
        <v>395</v>
      </c>
      <c r="AV83" s="3" t="s">
        <v>69</v>
      </c>
      <c r="AW83" s="11" t="s">
        <v>10</v>
      </c>
      <c r="AX83" s="158"/>
      <c r="AY83" s="20" t="s">
        <v>395</v>
      </c>
      <c r="AZ83" s="3" t="s">
        <v>69</v>
      </c>
      <c r="BA83" s="11" t="s">
        <v>10</v>
      </c>
      <c r="BB83" s="158"/>
      <c r="BC83" s="20" t="s">
        <v>395</v>
      </c>
      <c r="BD83" s="3" t="s">
        <v>69</v>
      </c>
      <c r="BE83" s="11" t="s">
        <v>10</v>
      </c>
      <c r="BF83" s="158"/>
      <c r="BG83" s="20" t="s">
        <v>395</v>
      </c>
      <c r="BH83" s="3" t="s">
        <v>69</v>
      </c>
      <c r="BI83" s="11" t="s">
        <v>10</v>
      </c>
      <c r="BJ83" s="158"/>
    </row>
    <row r="84" spans="1:62" ht="12.75" customHeight="1">
      <c r="A84" s="78"/>
      <c r="B84" s="84" t="s">
        <v>378</v>
      </c>
      <c r="C84" s="98" t="s">
        <v>10</v>
      </c>
      <c r="D84" s="510">
        <v>1.287</v>
      </c>
      <c r="E84" s="510">
        <v>1.287</v>
      </c>
      <c r="F84" s="352"/>
      <c r="G84" s="20" t="s">
        <v>396</v>
      </c>
      <c r="H84" s="74" t="s">
        <v>343</v>
      </c>
      <c r="I84" s="11" t="s">
        <v>10</v>
      </c>
      <c r="J84" s="534">
        <f>N84+Z84+AD84+AH84+AL84+AP84+AT84+AX84+BB84+BF84+BJ84</f>
        <v>18</v>
      </c>
      <c r="K84" s="20" t="s">
        <v>396</v>
      </c>
      <c r="L84" s="3" t="s">
        <v>343</v>
      </c>
      <c r="M84" s="11" t="s">
        <v>10</v>
      </c>
      <c r="N84" s="158">
        <v>4</v>
      </c>
      <c r="O84" s="21"/>
      <c r="P84" s="252"/>
      <c r="Q84" s="252"/>
      <c r="R84" s="252"/>
      <c r="S84" s="252"/>
      <c r="T84" s="252"/>
      <c r="U84" s="252"/>
      <c r="V84" s="252"/>
      <c r="W84" s="20" t="s">
        <v>396</v>
      </c>
      <c r="X84" s="3" t="s">
        <v>343</v>
      </c>
      <c r="Y84" s="11" t="s">
        <v>10</v>
      </c>
      <c r="Z84" s="158">
        <f>2+3</f>
        <v>5</v>
      </c>
      <c r="AA84" s="20" t="s">
        <v>396</v>
      </c>
      <c r="AB84" s="3" t="s">
        <v>343</v>
      </c>
      <c r="AC84" s="11" t="s">
        <v>10</v>
      </c>
      <c r="AD84" s="158"/>
      <c r="AE84" s="20" t="s">
        <v>396</v>
      </c>
      <c r="AF84" s="3" t="s">
        <v>343</v>
      </c>
      <c r="AG84" s="11" t="s">
        <v>10</v>
      </c>
      <c r="AH84" s="158">
        <v>1</v>
      </c>
      <c r="AI84" s="20" t="s">
        <v>396</v>
      </c>
      <c r="AJ84" s="3" t="s">
        <v>343</v>
      </c>
      <c r="AK84" s="11" t="s">
        <v>10</v>
      </c>
      <c r="AL84" s="158">
        <v>3</v>
      </c>
      <c r="AM84" s="20" t="s">
        <v>396</v>
      </c>
      <c r="AN84" s="3" t="s">
        <v>343</v>
      </c>
      <c r="AO84" s="11" t="s">
        <v>10</v>
      </c>
      <c r="AP84" s="158"/>
      <c r="AQ84" s="20" t="s">
        <v>396</v>
      </c>
      <c r="AR84" s="3" t="s">
        <v>343</v>
      </c>
      <c r="AS84" s="11" t="s">
        <v>10</v>
      </c>
      <c r="AT84" s="158"/>
      <c r="AU84" s="20" t="s">
        <v>396</v>
      </c>
      <c r="AV84" s="3" t="s">
        <v>343</v>
      </c>
      <c r="AW84" s="11" t="s">
        <v>10</v>
      </c>
      <c r="AX84" s="158"/>
      <c r="AY84" s="20" t="s">
        <v>396</v>
      </c>
      <c r="AZ84" s="3" t="s">
        <v>343</v>
      </c>
      <c r="BA84" s="11" t="s">
        <v>10</v>
      </c>
      <c r="BB84" s="158">
        <v>2</v>
      </c>
      <c r="BC84" s="20" t="s">
        <v>396</v>
      </c>
      <c r="BD84" s="3" t="s">
        <v>343</v>
      </c>
      <c r="BE84" s="11" t="s">
        <v>10</v>
      </c>
      <c r="BF84" s="158">
        <v>1</v>
      </c>
      <c r="BG84" s="20" t="s">
        <v>396</v>
      </c>
      <c r="BH84" s="3" t="s">
        <v>343</v>
      </c>
      <c r="BI84" s="11" t="s">
        <v>10</v>
      </c>
      <c r="BJ84" s="158">
        <v>2</v>
      </c>
    </row>
    <row r="85" spans="1:62" ht="12.75" customHeight="1" hidden="1">
      <c r="A85" s="78"/>
      <c r="B85" s="113" t="s">
        <v>214</v>
      </c>
      <c r="C85" s="113" t="s">
        <v>23</v>
      </c>
      <c r="D85" s="510">
        <v>3.425</v>
      </c>
      <c r="E85" s="510">
        <v>5.492</v>
      </c>
      <c r="F85" s="352"/>
      <c r="G85" s="20" t="s">
        <v>397</v>
      </c>
      <c r="H85" s="74" t="s">
        <v>214</v>
      </c>
      <c r="I85" s="11" t="s">
        <v>23</v>
      </c>
      <c r="J85" s="534">
        <f>N85+Z85+AD85+AH85+AL85+AP85+AT85+AX85+BB85+BF85+BJ85</f>
        <v>0</v>
      </c>
      <c r="K85" s="20" t="s">
        <v>397</v>
      </c>
      <c r="L85" s="3" t="s">
        <v>214</v>
      </c>
      <c r="M85" s="11" t="s">
        <v>23</v>
      </c>
      <c r="N85" s="158"/>
      <c r="O85" s="21" t="e">
        <f>#REF!-#REF!</f>
        <v>#REF!</v>
      </c>
      <c r="P85" s="252"/>
      <c r="Q85" s="252"/>
      <c r="R85" s="252"/>
      <c r="S85" s="252"/>
      <c r="T85" s="252"/>
      <c r="U85" s="252"/>
      <c r="V85" s="252"/>
      <c r="W85" s="20" t="s">
        <v>397</v>
      </c>
      <c r="X85" s="74" t="s">
        <v>214</v>
      </c>
      <c r="Y85" s="11" t="s">
        <v>23</v>
      </c>
      <c r="Z85" s="158"/>
      <c r="AA85" s="20" t="s">
        <v>397</v>
      </c>
      <c r="AB85" s="74" t="s">
        <v>214</v>
      </c>
      <c r="AC85" s="11" t="s">
        <v>23</v>
      </c>
      <c r="AD85" s="158"/>
      <c r="AE85" s="20" t="s">
        <v>397</v>
      </c>
      <c r="AF85" s="74" t="s">
        <v>214</v>
      </c>
      <c r="AG85" s="11" t="s">
        <v>23</v>
      </c>
      <c r="AH85" s="158"/>
      <c r="AI85" s="20" t="s">
        <v>397</v>
      </c>
      <c r="AJ85" s="74" t="s">
        <v>214</v>
      </c>
      <c r="AK85" s="11" t="s">
        <v>23</v>
      </c>
      <c r="AL85" s="158"/>
      <c r="AM85" s="20" t="s">
        <v>397</v>
      </c>
      <c r="AN85" s="74" t="s">
        <v>214</v>
      </c>
      <c r="AO85" s="11" t="s">
        <v>23</v>
      </c>
      <c r="AP85" s="158"/>
      <c r="AQ85" s="20" t="s">
        <v>397</v>
      </c>
      <c r="AR85" s="74" t="s">
        <v>214</v>
      </c>
      <c r="AS85" s="11" t="s">
        <v>23</v>
      </c>
      <c r="AT85" s="158"/>
      <c r="AU85" s="20" t="s">
        <v>397</v>
      </c>
      <c r="AV85" s="74" t="s">
        <v>214</v>
      </c>
      <c r="AW85" s="11" t="s">
        <v>23</v>
      </c>
      <c r="AX85" s="158"/>
      <c r="AY85" s="20" t="s">
        <v>397</v>
      </c>
      <c r="AZ85" s="3" t="s">
        <v>214</v>
      </c>
      <c r="BA85" s="11" t="s">
        <v>23</v>
      </c>
      <c r="BB85" s="158"/>
      <c r="BC85" s="20" t="s">
        <v>397</v>
      </c>
      <c r="BD85" s="74" t="s">
        <v>214</v>
      </c>
      <c r="BE85" s="11" t="s">
        <v>23</v>
      </c>
      <c r="BF85" s="158"/>
      <c r="BG85" s="20" t="s">
        <v>397</v>
      </c>
      <c r="BH85" s="74" t="s">
        <v>214</v>
      </c>
      <c r="BI85" s="11" t="s">
        <v>23</v>
      </c>
      <c r="BJ85" s="158"/>
    </row>
    <row r="86" spans="1:62" ht="12.75" customHeight="1">
      <c r="A86" s="78"/>
      <c r="B86" s="98" t="s">
        <v>352</v>
      </c>
      <c r="C86" s="98" t="s">
        <v>20</v>
      </c>
      <c r="D86" s="510">
        <v>3.152</v>
      </c>
      <c r="E86" s="510">
        <v>3.152</v>
      </c>
      <c r="F86" s="352"/>
      <c r="G86" s="20" t="s">
        <v>398</v>
      </c>
      <c r="H86" s="74" t="s">
        <v>355</v>
      </c>
      <c r="I86" s="11" t="s">
        <v>10</v>
      </c>
      <c r="J86" s="534">
        <f>N86+Z86+AD86+AH86+AL86+AP86+AT86+AX86+BB86+BF86+BJ86</f>
        <v>19</v>
      </c>
      <c r="K86" s="20" t="s">
        <v>398</v>
      </c>
      <c r="L86" s="74" t="s">
        <v>355</v>
      </c>
      <c r="M86" s="11" t="s">
        <v>10</v>
      </c>
      <c r="N86" s="158"/>
      <c r="O86" s="21"/>
      <c r="P86" s="252"/>
      <c r="Q86" s="252"/>
      <c r="R86" s="252"/>
      <c r="S86" s="252"/>
      <c r="T86" s="252"/>
      <c r="U86" s="252"/>
      <c r="V86" s="252"/>
      <c r="W86" s="20" t="s">
        <v>398</v>
      </c>
      <c r="X86" s="74" t="s">
        <v>355</v>
      </c>
      <c r="Y86" s="11" t="s">
        <v>10</v>
      </c>
      <c r="Z86" s="158">
        <v>1</v>
      </c>
      <c r="AA86" s="20" t="s">
        <v>398</v>
      </c>
      <c r="AB86" s="74" t="s">
        <v>355</v>
      </c>
      <c r="AC86" s="11" t="s">
        <v>10</v>
      </c>
      <c r="AD86" s="158">
        <v>1</v>
      </c>
      <c r="AE86" s="20" t="s">
        <v>398</v>
      </c>
      <c r="AF86" s="74" t="s">
        <v>355</v>
      </c>
      <c r="AG86" s="11" t="s">
        <v>10</v>
      </c>
      <c r="AH86" s="158"/>
      <c r="AI86" s="20" t="s">
        <v>398</v>
      </c>
      <c r="AJ86" s="74" t="s">
        <v>355</v>
      </c>
      <c r="AK86" s="11" t="s">
        <v>10</v>
      </c>
      <c r="AL86" s="158">
        <v>1</v>
      </c>
      <c r="AM86" s="20" t="s">
        <v>398</v>
      </c>
      <c r="AN86" s="74" t="s">
        <v>355</v>
      </c>
      <c r="AO86" s="11" t="s">
        <v>10</v>
      </c>
      <c r="AP86" s="158"/>
      <c r="AQ86" s="20" t="s">
        <v>398</v>
      </c>
      <c r="AR86" s="74" t="s">
        <v>355</v>
      </c>
      <c r="AS86" s="11" t="s">
        <v>10</v>
      </c>
      <c r="AT86" s="158"/>
      <c r="AU86" s="20" t="s">
        <v>398</v>
      </c>
      <c r="AV86" s="74" t="s">
        <v>355</v>
      </c>
      <c r="AW86" s="11" t="s">
        <v>10</v>
      </c>
      <c r="AX86" s="158">
        <v>1</v>
      </c>
      <c r="AY86" s="20" t="s">
        <v>398</v>
      </c>
      <c r="AZ86" s="74" t="s">
        <v>355</v>
      </c>
      <c r="BA86" s="11" t="s">
        <v>10</v>
      </c>
      <c r="BB86" s="158">
        <v>10</v>
      </c>
      <c r="BC86" s="20" t="s">
        <v>398</v>
      </c>
      <c r="BD86" s="74" t="s">
        <v>355</v>
      </c>
      <c r="BE86" s="11" t="s">
        <v>10</v>
      </c>
      <c r="BF86" s="158"/>
      <c r="BG86" s="20" t="s">
        <v>398</v>
      </c>
      <c r="BH86" s="74" t="s">
        <v>355</v>
      </c>
      <c r="BI86" s="11" t="s">
        <v>10</v>
      </c>
      <c r="BJ86" s="158">
        <v>5</v>
      </c>
    </row>
    <row r="87" spans="1:62" ht="15">
      <c r="A87" s="78"/>
      <c r="B87" s="98"/>
      <c r="C87" s="98"/>
      <c r="D87" s="99">
        <v>0</v>
      </c>
      <c r="E87" s="99">
        <v>0</v>
      </c>
      <c r="F87" s="352"/>
      <c r="G87" s="39"/>
      <c r="H87" s="329" t="s">
        <v>216</v>
      </c>
      <c r="I87" s="43"/>
      <c r="J87" s="160"/>
      <c r="K87" s="39"/>
      <c r="L87" s="41" t="s">
        <v>216</v>
      </c>
      <c r="M87" s="43"/>
      <c r="N87" s="160"/>
      <c r="O87" s="21" t="e">
        <f>#REF!-#REF!</f>
        <v>#REF!</v>
      </c>
      <c r="P87" s="252"/>
      <c r="Q87" s="252"/>
      <c r="R87" s="252"/>
      <c r="S87" s="252"/>
      <c r="T87" s="252"/>
      <c r="U87" s="252"/>
      <c r="V87" s="252"/>
      <c r="W87" s="39"/>
      <c r="X87" s="41" t="s">
        <v>216</v>
      </c>
      <c r="Y87" s="43"/>
      <c r="Z87" s="160"/>
      <c r="AA87" s="39"/>
      <c r="AB87" s="41" t="s">
        <v>216</v>
      </c>
      <c r="AC87" s="43"/>
      <c r="AD87" s="160"/>
      <c r="AE87" s="39"/>
      <c r="AF87" s="41" t="s">
        <v>216</v>
      </c>
      <c r="AG87" s="43"/>
      <c r="AH87" s="160"/>
      <c r="AI87" s="39"/>
      <c r="AJ87" s="41" t="s">
        <v>216</v>
      </c>
      <c r="AK87" s="43"/>
      <c r="AL87" s="160"/>
      <c r="AM87" s="39"/>
      <c r="AN87" s="41" t="s">
        <v>216</v>
      </c>
      <c r="AO87" s="43"/>
      <c r="AP87" s="160"/>
      <c r="AQ87" s="39"/>
      <c r="AR87" s="41" t="s">
        <v>216</v>
      </c>
      <c r="AS87" s="43"/>
      <c r="AT87" s="160"/>
      <c r="AU87" s="39"/>
      <c r="AV87" s="41" t="s">
        <v>216</v>
      </c>
      <c r="AW87" s="43"/>
      <c r="AX87" s="160"/>
      <c r="AY87" s="39"/>
      <c r="AZ87" s="41" t="s">
        <v>216</v>
      </c>
      <c r="BA87" s="43"/>
      <c r="BB87" s="160"/>
      <c r="BC87" s="39"/>
      <c r="BD87" s="41" t="s">
        <v>216</v>
      </c>
      <c r="BE87" s="43"/>
      <c r="BF87" s="160"/>
      <c r="BG87" s="39"/>
      <c r="BH87" s="41" t="s">
        <v>216</v>
      </c>
      <c r="BI87" s="43"/>
      <c r="BJ87" s="160"/>
    </row>
    <row r="88" spans="1:62" s="401" customFormat="1" ht="18.75">
      <c r="A88" s="404"/>
      <c r="B88" s="395"/>
      <c r="C88" s="395"/>
      <c r="D88" s="396">
        <v>0</v>
      </c>
      <c r="E88" s="396">
        <v>0</v>
      </c>
      <c r="F88" s="417"/>
      <c r="G88" s="397" t="s">
        <v>160</v>
      </c>
      <c r="H88" s="372" t="s">
        <v>375</v>
      </c>
      <c r="I88" s="398"/>
      <c r="J88" s="402"/>
      <c r="K88" s="397" t="s">
        <v>160</v>
      </c>
      <c r="L88" s="372" t="s">
        <v>375</v>
      </c>
      <c r="M88" s="398"/>
      <c r="N88" s="402"/>
      <c r="O88" s="422" t="e">
        <f aca="true" t="shared" si="4" ref="O88:O150">O87-P87</f>
        <v>#REF!</v>
      </c>
      <c r="W88" s="397" t="s">
        <v>160</v>
      </c>
      <c r="X88" s="372" t="s">
        <v>375</v>
      </c>
      <c r="Y88" s="398"/>
      <c r="Z88" s="402"/>
      <c r="AA88" s="397" t="s">
        <v>160</v>
      </c>
      <c r="AB88" s="372" t="s">
        <v>375</v>
      </c>
      <c r="AC88" s="398"/>
      <c r="AD88" s="402"/>
      <c r="AE88" s="397" t="s">
        <v>160</v>
      </c>
      <c r="AF88" s="372" t="s">
        <v>375</v>
      </c>
      <c r="AG88" s="398"/>
      <c r="AH88" s="402"/>
      <c r="AI88" s="397" t="s">
        <v>160</v>
      </c>
      <c r="AJ88" s="372" t="s">
        <v>375</v>
      </c>
      <c r="AK88" s="398"/>
      <c r="AL88" s="402"/>
      <c r="AM88" s="397" t="s">
        <v>160</v>
      </c>
      <c r="AN88" s="372" t="s">
        <v>375</v>
      </c>
      <c r="AO88" s="398"/>
      <c r="AP88" s="402"/>
      <c r="AQ88" s="397" t="s">
        <v>160</v>
      </c>
      <c r="AR88" s="372" t="s">
        <v>375</v>
      </c>
      <c r="AS88" s="398"/>
      <c r="AT88" s="402"/>
      <c r="AU88" s="397" t="s">
        <v>160</v>
      </c>
      <c r="AV88" s="372" t="s">
        <v>375</v>
      </c>
      <c r="AW88" s="398"/>
      <c r="AX88" s="402"/>
      <c r="AY88" s="397" t="s">
        <v>160</v>
      </c>
      <c r="AZ88" s="372" t="s">
        <v>375</v>
      </c>
      <c r="BA88" s="398"/>
      <c r="BB88" s="402"/>
      <c r="BC88" s="397" t="s">
        <v>160</v>
      </c>
      <c r="BD88" s="372" t="s">
        <v>375</v>
      </c>
      <c r="BE88" s="398"/>
      <c r="BF88" s="402"/>
      <c r="BG88" s="397" t="s">
        <v>160</v>
      </c>
      <c r="BH88" s="372" t="s">
        <v>375</v>
      </c>
      <c r="BI88" s="398"/>
      <c r="BJ88" s="402"/>
    </row>
    <row r="89" spans="1:62" ht="15" hidden="1">
      <c r="A89" s="299"/>
      <c r="B89" s="341" t="s">
        <v>75</v>
      </c>
      <c r="C89" s="341" t="s">
        <v>13</v>
      </c>
      <c r="D89" s="524">
        <v>3412</v>
      </c>
      <c r="E89" s="524">
        <v>3412</v>
      </c>
      <c r="F89" s="352"/>
      <c r="G89" s="20" t="s">
        <v>218</v>
      </c>
      <c r="H89" s="74" t="s">
        <v>75</v>
      </c>
      <c r="I89" s="11" t="s">
        <v>13</v>
      </c>
      <c r="J89" s="365">
        <f aca="true" t="shared" si="5" ref="J89:J101">N89+Z89+AD89+AH89+AL89+AP89+AT89+AX89+BB89+BF89+BJ89</f>
        <v>0</v>
      </c>
      <c r="K89" s="20" t="s">
        <v>218</v>
      </c>
      <c r="L89" s="3" t="s">
        <v>75</v>
      </c>
      <c r="M89" s="11" t="s">
        <v>13</v>
      </c>
      <c r="N89" s="158"/>
      <c r="O89" s="21" t="e">
        <f t="shared" si="4"/>
        <v>#REF!</v>
      </c>
      <c r="P89" s="252"/>
      <c r="Q89" s="252"/>
      <c r="R89" s="252"/>
      <c r="S89" s="252"/>
      <c r="T89" s="252"/>
      <c r="U89" s="252"/>
      <c r="V89" s="252"/>
      <c r="W89" s="20" t="s">
        <v>218</v>
      </c>
      <c r="X89" s="3" t="s">
        <v>75</v>
      </c>
      <c r="Y89" s="11" t="s">
        <v>13</v>
      </c>
      <c r="Z89" s="158"/>
      <c r="AA89" s="20" t="s">
        <v>218</v>
      </c>
      <c r="AB89" s="3" t="s">
        <v>75</v>
      </c>
      <c r="AC89" s="11" t="s">
        <v>13</v>
      </c>
      <c r="AD89" s="158"/>
      <c r="AE89" s="20" t="s">
        <v>218</v>
      </c>
      <c r="AF89" s="3" t="s">
        <v>75</v>
      </c>
      <c r="AG89" s="11" t="s">
        <v>13</v>
      </c>
      <c r="AH89" s="158"/>
      <c r="AI89" s="20" t="s">
        <v>218</v>
      </c>
      <c r="AJ89" s="3" t="s">
        <v>75</v>
      </c>
      <c r="AK89" s="11" t="s">
        <v>13</v>
      </c>
      <c r="AL89" s="158"/>
      <c r="AM89" s="20" t="s">
        <v>218</v>
      </c>
      <c r="AN89" s="3" t="s">
        <v>75</v>
      </c>
      <c r="AO89" s="11" t="s">
        <v>13</v>
      </c>
      <c r="AP89" s="158"/>
      <c r="AQ89" s="20" t="s">
        <v>218</v>
      </c>
      <c r="AR89" s="3" t="s">
        <v>75</v>
      </c>
      <c r="AS89" s="11" t="s">
        <v>13</v>
      </c>
      <c r="AT89" s="158"/>
      <c r="AU89" s="20" t="s">
        <v>218</v>
      </c>
      <c r="AV89" s="3" t="s">
        <v>75</v>
      </c>
      <c r="AW89" s="11" t="s">
        <v>13</v>
      </c>
      <c r="AX89" s="158"/>
      <c r="AY89" s="20" t="s">
        <v>218</v>
      </c>
      <c r="AZ89" s="3" t="s">
        <v>75</v>
      </c>
      <c r="BA89" s="11" t="s">
        <v>13</v>
      </c>
      <c r="BB89" s="158"/>
      <c r="BC89" s="20" t="s">
        <v>218</v>
      </c>
      <c r="BD89" s="3" t="s">
        <v>75</v>
      </c>
      <c r="BE89" s="11" t="s">
        <v>13</v>
      </c>
      <c r="BF89" s="158"/>
      <c r="BG89" s="20" t="s">
        <v>218</v>
      </c>
      <c r="BH89" s="3" t="s">
        <v>75</v>
      </c>
      <c r="BI89" s="11" t="s">
        <v>13</v>
      </c>
      <c r="BJ89" s="158"/>
    </row>
    <row r="90" spans="1:62" ht="17.25" customHeight="1" hidden="1">
      <c r="A90" s="299"/>
      <c r="B90" s="341" t="s">
        <v>139</v>
      </c>
      <c r="C90" s="341" t="s">
        <v>28</v>
      </c>
      <c r="D90" s="378">
        <v>1250</v>
      </c>
      <c r="E90" s="378">
        <v>1250</v>
      </c>
      <c r="F90" s="352"/>
      <c r="G90" s="20" t="s">
        <v>399</v>
      </c>
      <c r="H90" s="74" t="s">
        <v>139</v>
      </c>
      <c r="I90" s="11" t="s">
        <v>28</v>
      </c>
      <c r="J90" s="365">
        <f t="shared" si="5"/>
        <v>0</v>
      </c>
      <c r="K90" s="20" t="s">
        <v>399</v>
      </c>
      <c r="L90" s="3" t="s">
        <v>139</v>
      </c>
      <c r="M90" s="11" t="s">
        <v>28</v>
      </c>
      <c r="N90" s="158"/>
      <c r="O90" s="21" t="e">
        <f t="shared" si="4"/>
        <v>#REF!</v>
      </c>
      <c r="P90" s="252"/>
      <c r="Q90" s="252"/>
      <c r="R90" s="252"/>
      <c r="S90" s="252"/>
      <c r="T90" s="252"/>
      <c r="U90" s="252"/>
      <c r="V90" s="252"/>
      <c r="W90" s="20" t="s">
        <v>399</v>
      </c>
      <c r="X90" s="3" t="s">
        <v>139</v>
      </c>
      <c r="Y90" s="11" t="s">
        <v>28</v>
      </c>
      <c r="Z90" s="158"/>
      <c r="AA90" s="20" t="s">
        <v>399</v>
      </c>
      <c r="AB90" s="3" t="s">
        <v>139</v>
      </c>
      <c r="AC90" s="11" t="s">
        <v>28</v>
      </c>
      <c r="AD90" s="538">
        <f>0.02*0</f>
        <v>0</v>
      </c>
      <c r="AE90" s="20" t="s">
        <v>399</v>
      </c>
      <c r="AF90" s="3" t="s">
        <v>139</v>
      </c>
      <c r="AG90" s="11" t="s">
        <v>28</v>
      </c>
      <c r="AH90" s="158"/>
      <c r="AI90" s="20" t="s">
        <v>399</v>
      </c>
      <c r="AJ90" s="3" t="s">
        <v>139</v>
      </c>
      <c r="AK90" s="11" t="s">
        <v>28</v>
      </c>
      <c r="AL90" s="158"/>
      <c r="AM90" s="20" t="s">
        <v>399</v>
      </c>
      <c r="AN90" s="3" t="s">
        <v>139</v>
      </c>
      <c r="AO90" s="11" t="s">
        <v>28</v>
      </c>
      <c r="AP90" s="158"/>
      <c r="AQ90" s="20" t="s">
        <v>399</v>
      </c>
      <c r="AR90" s="3" t="s">
        <v>139</v>
      </c>
      <c r="AS90" s="11" t="s">
        <v>28</v>
      </c>
      <c r="AT90" s="158"/>
      <c r="AU90" s="20" t="s">
        <v>399</v>
      </c>
      <c r="AV90" s="3" t="s">
        <v>139</v>
      </c>
      <c r="AW90" s="11" t="s">
        <v>28</v>
      </c>
      <c r="AX90" s="158"/>
      <c r="AY90" s="20" t="s">
        <v>399</v>
      </c>
      <c r="AZ90" s="3" t="s">
        <v>139</v>
      </c>
      <c r="BA90" s="11" t="s">
        <v>28</v>
      </c>
      <c r="BB90" s="158"/>
      <c r="BC90" s="20" t="s">
        <v>399</v>
      </c>
      <c r="BD90" s="3" t="s">
        <v>139</v>
      </c>
      <c r="BE90" s="11" t="s">
        <v>28</v>
      </c>
      <c r="BF90" s="158"/>
      <c r="BG90" s="20" t="s">
        <v>399</v>
      </c>
      <c r="BH90" s="3" t="s">
        <v>139</v>
      </c>
      <c r="BI90" s="11" t="s">
        <v>28</v>
      </c>
      <c r="BJ90" s="158"/>
    </row>
    <row r="91" spans="1:62" ht="12.75" customHeight="1">
      <c r="A91" s="299"/>
      <c r="B91" s="341" t="s">
        <v>73</v>
      </c>
      <c r="C91" s="341"/>
      <c r="D91" s="377">
        <v>0.242</v>
      </c>
      <c r="E91" s="377">
        <v>0.242</v>
      </c>
      <c r="F91" s="352"/>
      <c r="G91" s="20" t="s">
        <v>400</v>
      </c>
      <c r="H91" s="74" t="s">
        <v>73</v>
      </c>
      <c r="I91" s="11" t="s">
        <v>345</v>
      </c>
      <c r="J91" s="534">
        <f t="shared" si="5"/>
        <v>10</v>
      </c>
      <c r="K91" s="20" t="s">
        <v>400</v>
      </c>
      <c r="L91" s="3" t="s">
        <v>73</v>
      </c>
      <c r="M91" s="11"/>
      <c r="N91" s="158"/>
      <c r="O91" s="21" t="e">
        <f t="shared" si="4"/>
        <v>#REF!</v>
      </c>
      <c r="P91" s="252"/>
      <c r="Q91" s="252"/>
      <c r="R91" s="252"/>
      <c r="S91" s="252"/>
      <c r="T91" s="252"/>
      <c r="U91" s="252"/>
      <c r="V91" s="252"/>
      <c r="W91" s="20" t="s">
        <v>400</v>
      </c>
      <c r="X91" s="3" t="s">
        <v>73</v>
      </c>
      <c r="Y91" s="11"/>
      <c r="Z91" s="158">
        <v>9</v>
      </c>
      <c r="AA91" s="20" t="s">
        <v>400</v>
      </c>
      <c r="AB91" s="3" t="s">
        <v>73</v>
      </c>
      <c r="AC91" s="11"/>
      <c r="AD91" s="158"/>
      <c r="AE91" s="20" t="s">
        <v>400</v>
      </c>
      <c r="AF91" s="3" t="s">
        <v>73</v>
      </c>
      <c r="AG91" s="11"/>
      <c r="AH91" s="158"/>
      <c r="AI91" s="20" t="s">
        <v>400</v>
      </c>
      <c r="AJ91" s="3" t="s">
        <v>73</v>
      </c>
      <c r="AK91" s="11"/>
      <c r="AL91" s="158"/>
      <c r="AM91" s="20" t="s">
        <v>400</v>
      </c>
      <c r="AN91" s="3" t="s">
        <v>73</v>
      </c>
      <c r="AO91" s="11"/>
      <c r="AP91" s="158"/>
      <c r="AQ91" s="20" t="s">
        <v>400</v>
      </c>
      <c r="AR91" s="3" t="s">
        <v>73</v>
      </c>
      <c r="AS91" s="11"/>
      <c r="AT91" s="158"/>
      <c r="AU91" s="20" t="s">
        <v>400</v>
      </c>
      <c r="AV91" s="3" t="s">
        <v>73</v>
      </c>
      <c r="AW91" s="11" t="s">
        <v>345</v>
      </c>
      <c r="AX91" s="158">
        <v>1</v>
      </c>
      <c r="AY91" s="20" t="s">
        <v>400</v>
      </c>
      <c r="AZ91" s="3" t="s">
        <v>73</v>
      </c>
      <c r="BA91" s="11"/>
      <c r="BB91" s="158"/>
      <c r="BC91" s="20" t="s">
        <v>400</v>
      </c>
      <c r="BD91" s="3" t="s">
        <v>73</v>
      </c>
      <c r="BE91" s="11"/>
      <c r="BF91" s="158"/>
      <c r="BG91" s="20" t="s">
        <v>400</v>
      </c>
      <c r="BH91" s="3" t="s">
        <v>73</v>
      </c>
      <c r="BI91" s="11"/>
      <c r="BJ91" s="158"/>
    </row>
    <row r="92" spans="1:62" ht="12.75" customHeight="1">
      <c r="A92" s="299"/>
      <c r="B92" s="341" t="s">
        <v>67</v>
      </c>
      <c r="C92" s="341" t="s">
        <v>13</v>
      </c>
      <c r="D92" s="344">
        <v>550</v>
      </c>
      <c r="E92" s="344">
        <v>550</v>
      </c>
      <c r="F92" s="352"/>
      <c r="G92" s="20" t="s">
        <v>219</v>
      </c>
      <c r="H92" s="74" t="s">
        <v>67</v>
      </c>
      <c r="I92" s="11" t="s">
        <v>13</v>
      </c>
      <c r="J92" s="365">
        <f t="shared" si="5"/>
        <v>0.097</v>
      </c>
      <c r="K92" s="20" t="s">
        <v>219</v>
      </c>
      <c r="L92" s="3" t="s">
        <v>67</v>
      </c>
      <c r="M92" s="11" t="s">
        <v>13</v>
      </c>
      <c r="N92" s="249">
        <v>0.097</v>
      </c>
      <c r="O92" s="21" t="e">
        <f t="shared" si="4"/>
        <v>#REF!</v>
      </c>
      <c r="P92" s="252"/>
      <c r="Q92" s="252"/>
      <c r="R92" s="252"/>
      <c r="S92" s="252"/>
      <c r="T92" s="252"/>
      <c r="U92" s="252"/>
      <c r="V92" s="252"/>
      <c r="W92" s="20" t="s">
        <v>219</v>
      </c>
      <c r="X92" s="3" t="s">
        <v>67</v>
      </c>
      <c r="Y92" s="11" t="s">
        <v>13</v>
      </c>
      <c r="Z92" s="158"/>
      <c r="AA92" s="20" t="s">
        <v>219</v>
      </c>
      <c r="AB92" s="3" t="s">
        <v>67</v>
      </c>
      <c r="AC92" s="11" t="s">
        <v>13</v>
      </c>
      <c r="AD92" s="373"/>
      <c r="AE92" s="20" t="s">
        <v>219</v>
      </c>
      <c r="AF92" s="3" t="s">
        <v>67</v>
      </c>
      <c r="AG92" s="11" t="s">
        <v>13</v>
      </c>
      <c r="AH92" s="158"/>
      <c r="AI92" s="20" t="s">
        <v>219</v>
      </c>
      <c r="AJ92" s="3" t="s">
        <v>67</v>
      </c>
      <c r="AK92" s="11" t="s">
        <v>13</v>
      </c>
      <c r="AL92" s="158"/>
      <c r="AM92" s="20" t="s">
        <v>219</v>
      </c>
      <c r="AN92" s="3" t="s">
        <v>67</v>
      </c>
      <c r="AO92" s="11" t="s">
        <v>13</v>
      </c>
      <c r="AP92" s="158"/>
      <c r="AQ92" s="20" t="s">
        <v>219</v>
      </c>
      <c r="AR92" s="3" t="s">
        <v>67</v>
      </c>
      <c r="AS92" s="11" t="s">
        <v>13</v>
      </c>
      <c r="AT92" s="158"/>
      <c r="AU92" s="20" t="s">
        <v>219</v>
      </c>
      <c r="AV92" s="3" t="s">
        <v>67</v>
      </c>
      <c r="AW92" s="11" t="s">
        <v>13</v>
      </c>
      <c r="AX92" s="158"/>
      <c r="AY92" s="20" t="s">
        <v>219</v>
      </c>
      <c r="AZ92" s="3" t="s">
        <v>67</v>
      </c>
      <c r="BA92" s="11" t="s">
        <v>13</v>
      </c>
      <c r="BB92" s="158"/>
      <c r="BC92" s="20" t="s">
        <v>219</v>
      </c>
      <c r="BD92" s="3" t="s">
        <v>67</v>
      </c>
      <c r="BE92" s="11" t="s">
        <v>13</v>
      </c>
      <c r="BF92" s="158"/>
      <c r="BG92" s="20" t="s">
        <v>219</v>
      </c>
      <c r="BH92" s="3" t="s">
        <v>67</v>
      </c>
      <c r="BI92" s="11" t="s">
        <v>13</v>
      </c>
      <c r="BJ92" s="158"/>
    </row>
    <row r="93" spans="1:62" ht="12.75" customHeight="1">
      <c r="A93" s="299"/>
      <c r="B93" s="3" t="s">
        <v>372</v>
      </c>
      <c r="C93" s="341" t="s">
        <v>10</v>
      </c>
      <c r="D93" s="344">
        <v>0</v>
      </c>
      <c r="E93" s="344">
        <v>0</v>
      </c>
      <c r="F93" s="352"/>
      <c r="G93" s="20" t="s">
        <v>401</v>
      </c>
      <c r="H93" s="3" t="s">
        <v>372</v>
      </c>
      <c r="I93" s="11" t="s">
        <v>10</v>
      </c>
      <c r="J93" s="534">
        <f t="shared" si="5"/>
        <v>6</v>
      </c>
      <c r="K93" s="20" t="s">
        <v>401</v>
      </c>
      <c r="L93" s="3" t="s">
        <v>372</v>
      </c>
      <c r="M93" s="11" t="s">
        <v>10</v>
      </c>
      <c r="N93" s="158"/>
      <c r="O93" s="21" t="e">
        <f t="shared" si="4"/>
        <v>#REF!</v>
      </c>
      <c r="P93" s="252"/>
      <c r="Q93" s="252"/>
      <c r="R93" s="252"/>
      <c r="S93" s="252"/>
      <c r="T93" s="252"/>
      <c r="U93" s="252"/>
      <c r="V93" s="252"/>
      <c r="W93" s="20" t="s">
        <v>401</v>
      </c>
      <c r="X93" s="3" t="s">
        <v>372</v>
      </c>
      <c r="Y93" s="11" t="s">
        <v>10</v>
      </c>
      <c r="Z93" s="158"/>
      <c r="AA93" s="20" t="s">
        <v>401</v>
      </c>
      <c r="AB93" s="3" t="s">
        <v>372</v>
      </c>
      <c r="AC93" s="11" t="s">
        <v>10</v>
      </c>
      <c r="AD93" s="158"/>
      <c r="AE93" s="20" t="s">
        <v>401</v>
      </c>
      <c r="AF93" s="3" t="s">
        <v>372</v>
      </c>
      <c r="AG93" s="11" t="s">
        <v>10</v>
      </c>
      <c r="AH93" s="158"/>
      <c r="AI93" s="20" t="s">
        <v>401</v>
      </c>
      <c r="AJ93" s="3" t="s">
        <v>372</v>
      </c>
      <c r="AK93" s="11" t="s">
        <v>10</v>
      </c>
      <c r="AL93" s="158"/>
      <c r="AM93" s="20" t="s">
        <v>401</v>
      </c>
      <c r="AN93" s="3" t="s">
        <v>372</v>
      </c>
      <c r="AO93" s="11" t="s">
        <v>10</v>
      </c>
      <c r="AP93" s="158"/>
      <c r="AQ93" s="20" t="s">
        <v>401</v>
      </c>
      <c r="AR93" s="3" t="s">
        <v>372</v>
      </c>
      <c r="AS93" s="11" t="s">
        <v>10</v>
      </c>
      <c r="AT93" s="158"/>
      <c r="AU93" s="20" t="s">
        <v>401</v>
      </c>
      <c r="AV93" s="3" t="s">
        <v>372</v>
      </c>
      <c r="AW93" s="11" t="s">
        <v>10</v>
      </c>
      <c r="AX93" s="158"/>
      <c r="AY93" s="20" t="s">
        <v>401</v>
      </c>
      <c r="AZ93" s="3" t="s">
        <v>372</v>
      </c>
      <c r="BA93" s="11" t="s">
        <v>10</v>
      </c>
      <c r="BB93" s="158"/>
      <c r="BC93" s="20" t="s">
        <v>401</v>
      </c>
      <c r="BD93" s="3" t="s">
        <v>372</v>
      </c>
      <c r="BE93" s="11" t="s">
        <v>10</v>
      </c>
      <c r="BF93" s="249">
        <v>3</v>
      </c>
      <c r="BG93" s="20" t="s">
        <v>401</v>
      </c>
      <c r="BH93" s="3" t="s">
        <v>372</v>
      </c>
      <c r="BI93" s="11" t="s">
        <v>10</v>
      </c>
      <c r="BJ93" s="249">
        <v>3</v>
      </c>
    </row>
    <row r="94" spans="1:62" ht="15">
      <c r="A94" s="78"/>
      <c r="B94" s="98" t="s">
        <v>50</v>
      </c>
      <c r="C94" s="98" t="s">
        <v>25</v>
      </c>
      <c r="D94" s="100">
        <v>0</v>
      </c>
      <c r="E94" s="100">
        <v>0</v>
      </c>
      <c r="F94" s="352"/>
      <c r="G94" s="20" t="s">
        <v>402</v>
      </c>
      <c r="H94" s="74" t="s">
        <v>50</v>
      </c>
      <c r="I94" s="11" t="s">
        <v>25</v>
      </c>
      <c r="J94" s="667">
        <f t="shared" si="5"/>
        <v>0</v>
      </c>
      <c r="K94" s="20" t="s">
        <v>402</v>
      </c>
      <c r="L94" s="3" t="s">
        <v>50</v>
      </c>
      <c r="M94" s="11" t="s">
        <v>25</v>
      </c>
      <c r="N94" s="158"/>
      <c r="O94" s="21" t="e">
        <f t="shared" si="4"/>
        <v>#REF!</v>
      </c>
      <c r="P94" s="252"/>
      <c r="Q94" s="252"/>
      <c r="R94" s="252"/>
      <c r="S94" s="252"/>
      <c r="T94" s="252"/>
      <c r="U94" s="252"/>
      <c r="V94" s="252"/>
      <c r="W94" s="20" t="s">
        <v>402</v>
      </c>
      <c r="X94" s="3" t="s">
        <v>50</v>
      </c>
      <c r="Y94" s="11" t="s">
        <v>25</v>
      </c>
      <c r="Z94" s="158"/>
      <c r="AA94" s="20" t="s">
        <v>402</v>
      </c>
      <c r="AB94" s="3" t="s">
        <v>50</v>
      </c>
      <c r="AC94" s="11" t="s">
        <v>25</v>
      </c>
      <c r="AD94" s="158"/>
      <c r="AE94" s="20" t="s">
        <v>402</v>
      </c>
      <c r="AF94" s="3" t="s">
        <v>50</v>
      </c>
      <c r="AG94" s="11" t="s">
        <v>25</v>
      </c>
      <c r="AH94" s="158"/>
      <c r="AI94" s="20" t="s">
        <v>402</v>
      </c>
      <c r="AJ94" s="3" t="s">
        <v>50</v>
      </c>
      <c r="AK94" s="11" t="s">
        <v>25</v>
      </c>
      <c r="AL94" s="158"/>
      <c r="AM94" s="20" t="s">
        <v>402</v>
      </c>
      <c r="AN94" s="3" t="s">
        <v>50</v>
      </c>
      <c r="AO94" s="11" t="s">
        <v>25</v>
      </c>
      <c r="AP94" s="158"/>
      <c r="AQ94" s="20" t="s">
        <v>402</v>
      </c>
      <c r="AR94" s="3" t="s">
        <v>50</v>
      </c>
      <c r="AS94" s="11" t="s">
        <v>25</v>
      </c>
      <c r="AT94" s="158"/>
      <c r="AU94" s="20" t="s">
        <v>402</v>
      </c>
      <c r="AV94" s="3" t="s">
        <v>50</v>
      </c>
      <c r="AW94" s="11" t="s">
        <v>25</v>
      </c>
      <c r="AX94" s="158"/>
      <c r="AY94" s="20" t="s">
        <v>402</v>
      </c>
      <c r="AZ94" s="3" t="s">
        <v>50</v>
      </c>
      <c r="BA94" s="11" t="s">
        <v>25</v>
      </c>
      <c r="BB94" s="158"/>
      <c r="BC94" s="20" t="s">
        <v>402</v>
      </c>
      <c r="BD94" s="3" t="s">
        <v>50</v>
      </c>
      <c r="BE94" s="11" t="s">
        <v>25</v>
      </c>
      <c r="BF94" s="158"/>
      <c r="BG94" s="20" t="s">
        <v>402</v>
      </c>
      <c r="BH94" s="3" t="s">
        <v>50</v>
      </c>
      <c r="BI94" s="11" t="s">
        <v>25</v>
      </c>
      <c r="BJ94" s="158"/>
    </row>
    <row r="95" spans="1:62" ht="15">
      <c r="A95" s="78"/>
      <c r="B95" s="98" t="s">
        <v>51</v>
      </c>
      <c r="C95" s="98" t="s">
        <v>10</v>
      </c>
      <c r="D95" s="100">
        <v>0</v>
      </c>
      <c r="E95" s="100">
        <v>0</v>
      </c>
      <c r="F95" s="352"/>
      <c r="G95" s="20" t="s">
        <v>403</v>
      </c>
      <c r="H95" s="74" t="s">
        <v>51</v>
      </c>
      <c r="I95" s="11" t="s">
        <v>10</v>
      </c>
      <c r="J95" s="667">
        <f t="shared" si="5"/>
        <v>0</v>
      </c>
      <c r="K95" s="20" t="s">
        <v>403</v>
      </c>
      <c r="L95" s="3" t="s">
        <v>51</v>
      </c>
      <c r="M95" s="11" t="s">
        <v>10</v>
      </c>
      <c r="N95" s="158"/>
      <c r="O95" s="21" t="e">
        <f t="shared" si="4"/>
        <v>#REF!</v>
      </c>
      <c r="P95" s="252"/>
      <c r="Q95" s="252"/>
      <c r="R95" s="252"/>
      <c r="S95" s="252"/>
      <c r="T95" s="252"/>
      <c r="U95" s="252"/>
      <c r="V95" s="252"/>
      <c r="W95" s="20" t="s">
        <v>403</v>
      </c>
      <c r="X95" s="3" t="s">
        <v>51</v>
      </c>
      <c r="Y95" s="11" t="s">
        <v>10</v>
      </c>
      <c r="Z95" s="158"/>
      <c r="AA95" s="20" t="s">
        <v>403</v>
      </c>
      <c r="AB95" s="3" t="s">
        <v>51</v>
      </c>
      <c r="AC95" s="11" t="s">
        <v>10</v>
      </c>
      <c r="AD95" s="158"/>
      <c r="AE95" s="20" t="s">
        <v>403</v>
      </c>
      <c r="AF95" s="3" t="s">
        <v>51</v>
      </c>
      <c r="AG95" s="11" t="s">
        <v>10</v>
      </c>
      <c r="AH95" s="158"/>
      <c r="AI95" s="20" t="s">
        <v>403</v>
      </c>
      <c r="AJ95" s="3" t="s">
        <v>51</v>
      </c>
      <c r="AK95" s="11" t="s">
        <v>10</v>
      </c>
      <c r="AL95" s="158"/>
      <c r="AM95" s="20" t="s">
        <v>403</v>
      </c>
      <c r="AN95" s="3" t="s">
        <v>51</v>
      </c>
      <c r="AO95" s="11" t="s">
        <v>10</v>
      </c>
      <c r="AP95" s="158"/>
      <c r="AQ95" s="20" t="s">
        <v>403</v>
      </c>
      <c r="AR95" s="3" t="s">
        <v>51</v>
      </c>
      <c r="AS95" s="11" t="s">
        <v>10</v>
      </c>
      <c r="AT95" s="158"/>
      <c r="AU95" s="20" t="s">
        <v>403</v>
      </c>
      <c r="AV95" s="3" t="s">
        <v>51</v>
      </c>
      <c r="AW95" s="11" t="s">
        <v>10</v>
      </c>
      <c r="AX95" s="158"/>
      <c r="AY95" s="20" t="s">
        <v>403</v>
      </c>
      <c r="AZ95" s="3" t="s">
        <v>51</v>
      </c>
      <c r="BA95" s="11" t="s">
        <v>10</v>
      </c>
      <c r="BB95" s="158"/>
      <c r="BC95" s="20" t="s">
        <v>403</v>
      </c>
      <c r="BD95" s="3" t="s">
        <v>51</v>
      </c>
      <c r="BE95" s="11" t="s">
        <v>10</v>
      </c>
      <c r="BF95" s="158"/>
      <c r="BG95" s="20" t="s">
        <v>403</v>
      </c>
      <c r="BH95" s="3" t="s">
        <v>51</v>
      </c>
      <c r="BI95" s="11" t="s">
        <v>10</v>
      </c>
      <c r="BJ95" s="158"/>
    </row>
    <row r="96" spans="1:62" ht="15">
      <c r="A96" s="78"/>
      <c r="B96" s="98" t="s">
        <v>53</v>
      </c>
      <c r="C96" s="98" t="s">
        <v>70</v>
      </c>
      <c r="D96" s="536">
        <v>0.5</v>
      </c>
      <c r="E96" s="536">
        <v>0.5</v>
      </c>
      <c r="F96" s="718"/>
      <c r="G96" s="20" t="s">
        <v>404</v>
      </c>
      <c r="H96" s="74" t="s">
        <v>53</v>
      </c>
      <c r="I96" s="11" t="s">
        <v>70</v>
      </c>
      <c r="J96" s="534">
        <f t="shared" si="5"/>
        <v>49.53</v>
      </c>
      <c r="K96" s="20" t="s">
        <v>404</v>
      </c>
      <c r="L96" s="3" t="s">
        <v>53</v>
      </c>
      <c r="M96" s="11" t="s">
        <v>70</v>
      </c>
      <c r="N96" s="353">
        <v>4</v>
      </c>
      <c r="O96" s="21" t="e">
        <f t="shared" si="4"/>
        <v>#REF!</v>
      </c>
      <c r="P96" s="252"/>
      <c r="Q96" s="252"/>
      <c r="R96" s="252"/>
      <c r="S96" s="252"/>
      <c r="T96" s="252"/>
      <c r="U96" s="252"/>
      <c r="V96" s="252"/>
      <c r="W96" s="20" t="s">
        <v>404</v>
      </c>
      <c r="X96" s="3" t="s">
        <v>53</v>
      </c>
      <c r="Y96" s="11" t="s">
        <v>70</v>
      </c>
      <c r="Z96" s="353">
        <v>5</v>
      </c>
      <c r="AA96" s="20" t="s">
        <v>404</v>
      </c>
      <c r="AB96" s="3" t="s">
        <v>53</v>
      </c>
      <c r="AC96" s="11" t="s">
        <v>70</v>
      </c>
      <c r="AD96" s="353">
        <v>3</v>
      </c>
      <c r="AE96" s="20" t="s">
        <v>404</v>
      </c>
      <c r="AF96" s="3" t="s">
        <v>53</v>
      </c>
      <c r="AG96" s="11" t="s">
        <v>70</v>
      </c>
      <c r="AH96" s="353">
        <v>5.5</v>
      </c>
      <c r="AI96" s="20" t="s">
        <v>404</v>
      </c>
      <c r="AJ96" s="3" t="s">
        <v>53</v>
      </c>
      <c r="AK96" s="11" t="s">
        <v>70</v>
      </c>
      <c r="AL96" s="257">
        <v>3.6</v>
      </c>
      <c r="AM96" s="20" t="s">
        <v>404</v>
      </c>
      <c r="AN96" s="3" t="s">
        <v>53</v>
      </c>
      <c r="AO96" s="11" t="s">
        <v>70</v>
      </c>
      <c r="AP96" s="257">
        <v>2.93</v>
      </c>
      <c r="AQ96" s="20" t="s">
        <v>404</v>
      </c>
      <c r="AR96" s="3" t="s">
        <v>53</v>
      </c>
      <c r="AS96" s="11" t="s">
        <v>70</v>
      </c>
      <c r="AT96" s="257">
        <v>1.8</v>
      </c>
      <c r="AU96" s="20" t="s">
        <v>404</v>
      </c>
      <c r="AV96" s="3" t="s">
        <v>53</v>
      </c>
      <c r="AW96" s="11" t="s">
        <v>70</v>
      </c>
      <c r="AX96" s="257">
        <v>4.9</v>
      </c>
      <c r="AY96" s="20" t="s">
        <v>404</v>
      </c>
      <c r="AZ96" s="3" t="s">
        <v>53</v>
      </c>
      <c r="BA96" s="11" t="s">
        <v>70</v>
      </c>
      <c r="BB96" s="257">
        <v>7.4</v>
      </c>
      <c r="BC96" s="20" t="s">
        <v>404</v>
      </c>
      <c r="BD96" s="3" t="s">
        <v>53</v>
      </c>
      <c r="BE96" s="11" t="s">
        <v>70</v>
      </c>
      <c r="BF96" s="257">
        <v>4.1</v>
      </c>
      <c r="BG96" s="20" t="s">
        <v>404</v>
      </c>
      <c r="BH96" s="3" t="s">
        <v>53</v>
      </c>
      <c r="BI96" s="11" t="s">
        <v>70</v>
      </c>
      <c r="BJ96" s="257">
        <v>7.3</v>
      </c>
    </row>
    <row r="97" spans="1:62" ht="15">
      <c r="A97" s="78"/>
      <c r="B97" s="98" t="s">
        <v>54</v>
      </c>
      <c r="C97" s="98" t="s">
        <v>20</v>
      </c>
      <c r="D97" s="537">
        <v>0.5</v>
      </c>
      <c r="E97" s="537">
        <v>0.5</v>
      </c>
      <c r="F97" s="718"/>
      <c r="G97" s="20" t="s">
        <v>405</v>
      </c>
      <c r="H97" s="74" t="s">
        <v>54</v>
      </c>
      <c r="I97" s="11" t="s">
        <v>20</v>
      </c>
      <c r="J97" s="534">
        <f t="shared" si="5"/>
        <v>100</v>
      </c>
      <c r="K97" s="20" t="s">
        <v>405</v>
      </c>
      <c r="L97" s="3" t="s">
        <v>54</v>
      </c>
      <c r="M97" s="11" t="s">
        <v>20</v>
      </c>
      <c r="N97" s="158"/>
      <c r="O97" s="21" t="e">
        <f t="shared" si="4"/>
        <v>#REF!</v>
      </c>
      <c r="P97" s="252"/>
      <c r="Q97" s="252"/>
      <c r="R97" s="252"/>
      <c r="S97" s="252"/>
      <c r="T97" s="252"/>
      <c r="U97" s="252"/>
      <c r="V97" s="252"/>
      <c r="W97" s="20" t="s">
        <v>405</v>
      </c>
      <c r="X97" s="3" t="s">
        <v>54</v>
      </c>
      <c r="Y97" s="11" t="s">
        <v>20</v>
      </c>
      <c r="Z97" s="158"/>
      <c r="AA97" s="20" t="s">
        <v>405</v>
      </c>
      <c r="AB97" s="3" t="s">
        <v>54</v>
      </c>
      <c r="AC97" s="11" t="s">
        <v>20</v>
      </c>
      <c r="AD97" s="158"/>
      <c r="AE97" s="20" t="s">
        <v>405</v>
      </c>
      <c r="AF97" s="3" t="s">
        <v>54</v>
      </c>
      <c r="AG97" s="11" t="s">
        <v>20</v>
      </c>
      <c r="AH97" s="158">
        <v>28</v>
      </c>
      <c r="AI97" s="20" t="s">
        <v>405</v>
      </c>
      <c r="AJ97" s="3" t="s">
        <v>54</v>
      </c>
      <c r="AK97" s="11" t="s">
        <v>20</v>
      </c>
      <c r="AL97" s="158"/>
      <c r="AM97" s="20" t="s">
        <v>405</v>
      </c>
      <c r="AN97" s="3" t="s">
        <v>54</v>
      </c>
      <c r="AO97" s="11" t="s">
        <v>20</v>
      </c>
      <c r="AP97" s="158"/>
      <c r="AQ97" s="20" t="s">
        <v>405</v>
      </c>
      <c r="AR97" s="3" t="s">
        <v>54</v>
      </c>
      <c r="AS97" s="11" t="s">
        <v>20</v>
      </c>
      <c r="AT97" s="158"/>
      <c r="AU97" s="20" t="s">
        <v>405</v>
      </c>
      <c r="AV97" s="3" t="s">
        <v>54</v>
      </c>
      <c r="AW97" s="11" t="s">
        <v>20</v>
      </c>
      <c r="AX97" s="158">
        <v>8</v>
      </c>
      <c r="AY97" s="20" t="s">
        <v>405</v>
      </c>
      <c r="AZ97" s="3" t="s">
        <v>54</v>
      </c>
      <c r="BA97" s="11" t="s">
        <v>20</v>
      </c>
      <c r="BB97" s="158">
        <v>32</v>
      </c>
      <c r="BC97" s="20" t="s">
        <v>405</v>
      </c>
      <c r="BD97" s="3" t="s">
        <v>54</v>
      </c>
      <c r="BE97" s="11" t="s">
        <v>20</v>
      </c>
      <c r="BF97" s="158"/>
      <c r="BG97" s="20" t="s">
        <v>405</v>
      </c>
      <c r="BH97" s="3" t="s">
        <v>54</v>
      </c>
      <c r="BI97" s="11" t="s">
        <v>20</v>
      </c>
      <c r="BJ97" s="158">
        <v>32</v>
      </c>
    </row>
    <row r="98" spans="1:62" ht="15">
      <c r="A98" s="78"/>
      <c r="B98" s="98" t="s">
        <v>56</v>
      </c>
      <c r="C98" s="98" t="s">
        <v>20</v>
      </c>
      <c r="D98" s="539">
        <v>2</v>
      </c>
      <c r="E98" s="539">
        <v>2</v>
      </c>
      <c r="F98" s="352"/>
      <c r="G98" s="20" t="s">
        <v>406</v>
      </c>
      <c r="H98" s="74" t="s">
        <v>56</v>
      </c>
      <c r="I98" s="11" t="s">
        <v>20</v>
      </c>
      <c r="J98" s="534">
        <f t="shared" si="5"/>
        <v>26</v>
      </c>
      <c r="K98" s="20" t="s">
        <v>406</v>
      </c>
      <c r="L98" s="3" t="s">
        <v>56</v>
      </c>
      <c r="M98" s="11" t="s">
        <v>20</v>
      </c>
      <c r="N98" s="158"/>
      <c r="O98" s="21" t="e">
        <f t="shared" si="4"/>
        <v>#REF!</v>
      </c>
      <c r="P98" s="252"/>
      <c r="Q98" s="252"/>
      <c r="R98" s="252"/>
      <c r="S98" s="252"/>
      <c r="T98" s="252"/>
      <c r="U98" s="252"/>
      <c r="V98" s="252"/>
      <c r="W98" s="20" t="s">
        <v>406</v>
      </c>
      <c r="X98" s="3" t="s">
        <v>56</v>
      </c>
      <c r="Y98" s="11" t="s">
        <v>20</v>
      </c>
      <c r="Z98" s="158">
        <v>6</v>
      </c>
      <c r="AA98" s="20" t="s">
        <v>406</v>
      </c>
      <c r="AB98" s="3" t="s">
        <v>56</v>
      </c>
      <c r="AC98" s="11" t="s">
        <v>20</v>
      </c>
      <c r="AD98" s="158"/>
      <c r="AE98" s="20" t="s">
        <v>406</v>
      </c>
      <c r="AF98" s="3" t="s">
        <v>56</v>
      </c>
      <c r="AG98" s="11" t="s">
        <v>20</v>
      </c>
      <c r="AH98" s="158"/>
      <c r="AI98" s="20" t="s">
        <v>406</v>
      </c>
      <c r="AJ98" s="3" t="s">
        <v>56</v>
      </c>
      <c r="AK98" s="11" t="s">
        <v>20</v>
      </c>
      <c r="AL98" s="158"/>
      <c r="AM98" s="20" t="s">
        <v>406</v>
      </c>
      <c r="AN98" s="3" t="s">
        <v>56</v>
      </c>
      <c r="AO98" s="11" t="s">
        <v>20</v>
      </c>
      <c r="AP98" s="158"/>
      <c r="AQ98" s="20" t="s">
        <v>406</v>
      </c>
      <c r="AR98" s="3" t="s">
        <v>56</v>
      </c>
      <c r="AS98" s="11" t="s">
        <v>20</v>
      </c>
      <c r="AT98" s="158"/>
      <c r="AU98" s="20" t="s">
        <v>406</v>
      </c>
      <c r="AV98" s="3" t="s">
        <v>56</v>
      </c>
      <c r="AW98" s="11" t="s">
        <v>20</v>
      </c>
      <c r="AX98" s="158"/>
      <c r="AY98" s="20" t="s">
        <v>406</v>
      </c>
      <c r="AZ98" s="3" t="s">
        <v>56</v>
      </c>
      <c r="BA98" s="11" t="s">
        <v>20</v>
      </c>
      <c r="BB98" s="158">
        <v>20</v>
      </c>
      <c r="BC98" s="20" t="s">
        <v>406</v>
      </c>
      <c r="BD98" s="3" t="s">
        <v>56</v>
      </c>
      <c r="BE98" s="11" t="s">
        <v>20</v>
      </c>
      <c r="BF98" s="158"/>
      <c r="BG98" s="20" t="s">
        <v>406</v>
      </c>
      <c r="BH98" s="3" t="s">
        <v>56</v>
      </c>
      <c r="BI98" s="11" t="s">
        <v>20</v>
      </c>
      <c r="BJ98" s="158"/>
    </row>
    <row r="99" spans="1:62" ht="17.25" customHeight="1" hidden="1">
      <c r="A99" s="140"/>
      <c r="B99" s="370" t="s">
        <v>373</v>
      </c>
      <c r="C99" s="113" t="s">
        <v>13</v>
      </c>
      <c r="D99" s="524">
        <v>1322</v>
      </c>
      <c r="E99" s="524">
        <v>1322</v>
      </c>
      <c r="F99" s="352"/>
      <c r="G99" s="20" t="s">
        <v>407</v>
      </c>
      <c r="H99" s="370" t="s">
        <v>373</v>
      </c>
      <c r="I99" s="11" t="s">
        <v>13</v>
      </c>
      <c r="J99" s="534">
        <f t="shared" si="5"/>
        <v>0</v>
      </c>
      <c r="K99" s="20" t="s">
        <v>407</v>
      </c>
      <c r="L99" s="370" t="s">
        <v>373</v>
      </c>
      <c r="M99" s="11" t="s">
        <v>25</v>
      </c>
      <c r="N99" s="158"/>
      <c r="O99" s="21" t="e">
        <f t="shared" si="4"/>
        <v>#REF!</v>
      </c>
      <c r="P99" s="252"/>
      <c r="Q99" s="252"/>
      <c r="R99" s="252"/>
      <c r="S99" s="252"/>
      <c r="T99" s="252"/>
      <c r="U99" s="252"/>
      <c r="V99" s="252"/>
      <c r="W99" s="20" t="s">
        <v>407</v>
      </c>
      <c r="X99" s="370" t="s">
        <v>373</v>
      </c>
      <c r="Y99" s="11" t="s">
        <v>25</v>
      </c>
      <c r="Z99" s="158"/>
      <c r="AA99" s="20" t="s">
        <v>407</v>
      </c>
      <c r="AB99" s="370" t="s">
        <v>373</v>
      </c>
      <c r="AC99" s="11" t="s">
        <v>25</v>
      </c>
      <c r="AD99" s="158"/>
      <c r="AE99" s="20" t="s">
        <v>407</v>
      </c>
      <c r="AF99" s="370" t="s">
        <v>373</v>
      </c>
      <c r="AG99" s="11" t="s">
        <v>25</v>
      </c>
      <c r="AH99" s="158"/>
      <c r="AI99" s="20" t="s">
        <v>407</v>
      </c>
      <c r="AJ99" s="370" t="s">
        <v>373</v>
      </c>
      <c r="AK99" s="11" t="s">
        <v>25</v>
      </c>
      <c r="AL99" s="158"/>
      <c r="AM99" s="20" t="s">
        <v>407</v>
      </c>
      <c r="AN99" s="370" t="s">
        <v>373</v>
      </c>
      <c r="AO99" s="11" t="s">
        <v>25</v>
      </c>
      <c r="AP99" s="158"/>
      <c r="AQ99" s="20" t="s">
        <v>407</v>
      </c>
      <c r="AR99" s="370" t="s">
        <v>373</v>
      </c>
      <c r="AS99" s="11" t="s">
        <v>25</v>
      </c>
      <c r="AT99" s="158"/>
      <c r="AU99" s="20" t="s">
        <v>407</v>
      </c>
      <c r="AV99" s="370" t="s">
        <v>373</v>
      </c>
      <c r="AW99" s="11" t="s">
        <v>25</v>
      </c>
      <c r="AX99" s="158"/>
      <c r="AY99" s="20" t="s">
        <v>407</v>
      </c>
      <c r="AZ99" s="370" t="s">
        <v>373</v>
      </c>
      <c r="BA99" s="11" t="s">
        <v>25</v>
      </c>
      <c r="BB99" s="158"/>
      <c r="BC99" s="20" t="s">
        <v>407</v>
      </c>
      <c r="BD99" s="370" t="s">
        <v>373</v>
      </c>
      <c r="BE99" s="11" t="s">
        <v>25</v>
      </c>
      <c r="BF99" s="158"/>
      <c r="BG99" s="20" t="s">
        <v>407</v>
      </c>
      <c r="BH99" s="370" t="s">
        <v>373</v>
      </c>
      <c r="BI99" s="11" t="s">
        <v>25</v>
      </c>
      <c r="BJ99" s="158"/>
    </row>
    <row r="100" spans="1:62" ht="12.75" customHeight="1" hidden="1">
      <c r="A100" s="78"/>
      <c r="B100" s="3" t="s">
        <v>374</v>
      </c>
      <c r="C100" s="98" t="s">
        <v>20</v>
      </c>
      <c r="D100" s="100">
        <v>0</v>
      </c>
      <c r="E100" s="100">
        <v>0</v>
      </c>
      <c r="F100" s="352"/>
      <c r="G100" s="20" t="s">
        <v>161</v>
      </c>
      <c r="H100" s="3" t="s">
        <v>374</v>
      </c>
      <c r="I100" s="11" t="s">
        <v>20</v>
      </c>
      <c r="J100" s="534">
        <f t="shared" si="5"/>
        <v>0</v>
      </c>
      <c r="K100" s="20" t="s">
        <v>161</v>
      </c>
      <c r="L100" s="3" t="s">
        <v>374</v>
      </c>
      <c r="M100" s="11" t="s">
        <v>20</v>
      </c>
      <c r="N100" s="158"/>
      <c r="O100" s="21" t="e">
        <f t="shared" si="4"/>
        <v>#REF!</v>
      </c>
      <c r="P100" s="252"/>
      <c r="Q100" s="252"/>
      <c r="R100" s="252"/>
      <c r="S100" s="252"/>
      <c r="T100" s="252"/>
      <c r="U100" s="252"/>
      <c r="V100" s="252"/>
      <c r="W100" s="20" t="s">
        <v>161</v>
      </c>
      <c r="X100" s="3" t="s">
        <v>374</v>
      </c>
      <c r="Y100" s="11" t="s">
        <v>20</v>
      </c>
      <c r="Z100" s="158"/>
      <c r="AA100" s="20" t="s">
        <v>161</v>
      </c>
      <c r="AB100" s="3" t="s">
        <v>374</v>
      </c>
      <c r="AC100" s="11" t="s">
        <v>20</v>
      </c>
      <c r="AD100" s="158"/>
      <c r="AE100" s="20" t="s">
        <v>161</v>
      </c>
      <c r="AF100" s="3" t="s">
        <v>374</v>
      </c>
      <c r="AG100" s="11" t="s">
        <v>20</v>
      </c>
      <c r="AH100" s="158"/>
      <c r="AI100" s="20" t="s">
        <v>161</v>
      </c>
      <c r="AJ100" s="3" t="s">
        <v>374</v>
      </c>
      <c r="AK100" s="11" t="s">
        <v>20</v>
      </c>
      <c r="AL100" s="158"/>
      <c r="AM100" s="20" t="s">
        <v>161</v>
      </c>
      <c r="AN100" s="3" t="s">
        <v>374</v>
      </c>
      <c r="AO100" s="11" t="s">
        <v>20</v>
      </c>
      <c r="AP100" s="158"/>
      <c r="AQ100" s="20" t="s">
        <v>161</v>
      </c>
      <c r="AR100" s="3" t="s">
        <v>374</v>
      </c>
      <c r="AS100" s="11" t="s">
        <v>20</v>
      </c>
      <c r="AT100" s="158"/>
      <c r="AU100" s="20" t="s">
        <v>161</v>
      </c>
      <c r="AV100" s="3" t="s">
        <v>374</v>
      </c>
      <c r="AW100" s="11" t="s">
        <v>20</v>
      </c>
      <c r="AX100" s="158"/>
      <c r="AY100" s="20" t="s">
        <v>161</v>
      </c>
      <c r="AZ100" s="3" t="s">
        <v>374</v>
      </c>
      <c r="BA100" s="11" t="s">
        <v>20</v>
      </c>
      <c r="BB100" s="158"/>
      <c r="BC100" s="20" t="s">
        <v>161</v>
      </c>
      <c r="BD100" s="3" t="s">
        <v>374</v>
      </c>
      <c r="BE100" s="11" t="s">
        <v>20</v>
      </c>
      <c r="BF100" s="158"/>
      <c r="BG100" s="20" t="s">
        <v>161</v>
      </c>
      <c r="BH100" s="3" t="s">
        <v>374</v>
      </c>
      <c r="BI100" s="11" t="s">
        <v>20</v>
      </c>
      <c r="BJ100" s="158"/>
    </row>
    <row r="101" spans="1:62" ht="15">
      <c r="A101" s="78"/>
      <c r="B101" s="3" t="s">
        <v>259</v>
      </c>
      <c r="C101" s="98" t="s">
        <v>25</v>
      </c>
      <c r="D101" s="100">
        <v>0</v>
      </c>
      <c r="E101" s="100">
        <v>0</v>
      </c>
      <c r="F101" s="352"/>
      <c r="G101" s="20" t="s">
        <v>408</v>
      </c>
      <c r="H101" s="3" t="s">
        <v>259</v>
      </c>
      <c r="I101" s="11" t="s">
        <v>25</v>
      </c>
      <c r="J101" s="534">
        <f t="shared" si="5"/>
        <v>0</v>
      </c>
      <c r="K101" s="20" t="s">
        <v>408</v>
      </c>
      <c r="L101" s="3" t="s">
        <v>259</v>
      </c>
      <c r="M101" s="11" t="s">
        <v>25</v>
      </c>
      <c r="N101" s="158"/>
      <c r="O101" s="21" t="e">
        <f t="shared" si="4"/>
        <v>#REF!</v>
      </c>
      <c r="P101" s="252"/>
      <c r="Q101" s="252"/>
      <c r="R101" s="252"/>
      <c r="S101" s="252"/>
      <c r="T101" s="252"/>
      <c r="U101" s="252"/>
      <c r="V101" s="252"/>
      <c r="W101" s="20" t="s">
        <v>408</v>
      </c>
      <c r="X101" s="3" t="s">
        <v>259</v>
      </c>
      <c r="Y101" s="11" t="s">
        <v>25</v>
      </c>
      <c r="Z101" s="158"/>
      <c r="AA101" s="20" t="s">
        <v>408</v>
      </c>
      <c r="AB101" s="3" t="s">
        <v>259</v>
      </c>
      <c r="AC101" s="11" t="s">
        <v>25</v>
      </c>
      <c r="AD101" s="158"/>
      <c r="AE101" s="20" t="s">
        <v>408</v>
      </c>
      <c r="AF101" s="3" t="s">
        <v>259</v>
      </c>
      <c r="AG101" s="11" t="s">
        <v>25</v>
      </c>
      <c r="AH101" s="158"/>
      <c r="AI101" s="20" t="s">
        <v>408</v>
      </c>
      <c r="AJ101" s="3" t="s">
        <v>259</v>
      </c>
      <c r="AK101" s="11" t="s">
        <v>25</v>
      </c>
      <c r="AL101" s="158"/>
      <c r="AM101" s="20" t="s">
        <v>408</v>
      </c>
      <c r="AN101" s="3" t="s">
        <v>259</v>
      </c>
      <c r="AO101" s="11" t="s">
        <v>25</v>
      </c>
      <c r="AP101" s="158"/>
      <c r="AQ101" s="20" t="s">
        <v>408</v>
      </c>
      <c r="AR101" s="3" t="s">
        <v>259</v>
      </c>
      <c r="AS101" s="11" t="s">
        <v>25</v>
      </c>
      <c r="AT101" s="158"/>
      <c r="AU101" s="20" t="s">
        <v>408</v>
      </c>
      <c r="AV101" s="3" t="s">
        <v>259</v>
      </c>
      <c r="AW101" s="11" t="s">
        <v>25</v>
      </c>
      <c r="AX101" s="158"/>
      <c r="AY101" s="20" t="s">
        <v>408</v>
      </c>
      <c r="AZ101" s="3" t="s">
        <v>259</v>
      </c>
      <c r="BA101" s="11" t="s">
        <v>25</v>
      </c>
      <c r="BB101" s="158"/>
      <c r="BC101" s="20" t="s">
        <v>408</v>
      </c>
      <c r="BD101" s="3" t="s">
        <v>259</v>
      </c>
      <c r="BE101" s="11" t="s">
        <v>25</v>
      </c>
      <c r="BF101" s="158"/>
      <c r="BG101" s="20" t="s">
        <v>408</v>
      </c>
      <c r="BH101" s="3" t="s">
        <v>259</v>
      </c>
      <c r="BI101" s="11" t="s">
        <v>25</v>
      </c>
      <c r="BJ101" s="158"/>
    </row>
    <row r="102" spans="1:62" ht="15">
      <c r="A102" s="78"/>
      <c r="B102" s="98"/>
      <c r="C102" s="98"/>
      <c r="D102" s="100">
        <v>0</v>
      </c>
      <c r="E102" s="100">
        <v>0</v>
      </c>
      <c r="F102" s="352"/>
      <c r="G102" s="39"/>
      <c r="H102" s="329" t="s">
        <v>216</v>
      </c>
      <c r="I102" s="43"/>
      <c r="J102" s="160"/>
      <c r="K102" s="39"/>
      <c r="L102" s="41" t="s">
        <v>216</v>
      </c>
      <c r="M102" s="43"/>
      <c r="N102" s="160"/>
      <c r="O102" s="21" t="e">
        <f t="shared" si="4"/>
        <v>#REF!</v>
      </c>
      <c r="P102" s="252"/>
      <c r="Q102" s="252"/>
      <c r="R102" s="252"/>
      <c r="S102" s="252"/>
      <c r="T102" s="252"/>
      <c r="U102" s="252"/>
      <c r="V102" s="252"/>
      <c r="W102" s="39"/>
      <c r="X102" s="41" t="s">
        <v>216</v>
      </c>
      <c r="Y102" s="43"/>
      <c r="Z102" s="160"/>
      <c r="AA102" s="39"/>
      <c r="AB102" s="41" t="s">
        <v>216</v>
      </c>
      <c r="AC102" s="43"/>
      <c r="AD102" s="160"/>
      <c r="AE102" s="39"/>
      <c r="AF102" s="41" t="s">
        <v>216</v>
      </c>
      <c r="AG102" s="43"/>
      <c r="AH102" s="160"/>
      <c r="AI102" s="39"/>
      <c r="AJ102" s="41" t="s">
        <v>216</v>
      </c>
      <c r="AK102" s="43"/>
      <c r="AL102" s="160"/>
      <c r="AM102" s="39"/>
      <c r="AN102" s="41" t="s">
        <v>216</v>
      </c>
      <c r="AO102" s="43"/>
      <c r="AP102" s="160"/>
      <c r="AQ102" s="39"/>
      <c r="AR102" s="41" t="s">
        <v>216</v>
      </c>
      <c r="AS102" s="43"/>
      <c r="AT102" s="160"/>
      <c r="AU102" s="39"/>
      <c r="AV102" s="41" t="s">
        <v>216</v>
      </c>
      <c r="AW102" s="43"/>
      <c r="AX102" s="160"/>
      <c r="AY102" s="39"/>
      <c r="AZ102" s="41" t="s">
        <v>216</v>
      </c>
      <c r="BA102" s="43"/>
      <c r="BB102" s="160"/>
      <c r="BC102" s="39"/>
      <c r="BD102" s="41" t="s">
        <v>216</v>
      </c>
      <c r="BE102" s="43"/>
      <c r="BF102" s="160"/>
      <c r="BG102" s="39"/>
      <c r="BH102" s="41" t="s">
        <v>216</v>
      </c>
      <c r="BI102" s="43"/>
      <c r="BJ102" s="160"/>
    </row>
    <row r="103" spans="2:62" s="235" customFormat="1" ht="18.75">
      <c r="B103" s="407"/>
      <c r="C103" s="407"/>
      <c r="D103" s="525">
        <v>0</v>
      </c>
      <c r="E103" s="525">
        <v>0</v>
      </c>
      <c r="F103" s="440"/>
      <c r="G103" s="397" t="s">
        <v>409</v>
      </c>
      <c r="H103" s="437" t="s">
        <v>29</v>
      </c>
      <c r="I103" s="398"/>
      <c r="J103" s="402"/>
      <c r="K103" s="397" t="s">
        <v>409</v>
      </c>
      <c r="L103" s="372" t="s">
        <v>29</v>
      </c>
      <c r="M103" s="398"/>
      <c r="N103" s="402"/>
      <c r="O103" s="441" t="e">
        <f t="shared" si="4"/>
        <v>#REF!</v>
      </c>
      <c r="W103" s="397" t="s">
        <v>409</v>
      </c>
      <c r="X103" s="372" t="s">
        <v>29</v>
      </c>
      <c r="Y103" s="398"/>
      <c r="Z103" s="402"/>
      <c r="AA103" s="397" t="s">
        <v>409</v>
      </c>
      <c r="AB103" s="372" t="s">
        <v>29</v>
      </c>
      <c r="AC103" s="398"/>
      <c r="AD103" s="402"/>
      <c r="AE103" s="397" t="s">
        <v>409</v>
      </c>
      <c r="AF103" s="372" t="s">
        <v>29</v>
      </c>
      <c r="AG103" s="398"/>
      <c r="AH103" s="402"/>
      <c r="AI103" s="397" t="s">
        <v>409</v>
      </c>
      <c r="AJ103" s="372" t="s">
        <v>29</v>
      </c>
      <c r="AK103" s="398"/>
      <c r="AL103" s="402"/>
      <c r="AM103" s="397" t="s">
        <v>409</v>
      </c>
      <c r="AN103" s="372" t="s">
        <v>29</v>
      </c>
      <c r="AO103" s="398"/>
      <c r="AP103" s="402"/>
      <c r="AQ103" s="397" t="s">
        <v>409</v>
      </c>
      <c r="AR103" s="372" t="s">
        <v>29</v>
      </c>
      <c r="AS103" s="398"/>
      <c r="AT103" s="402"/>
      <c r="AU103" s="397" t="s">
        <v>409</v>
      </c>
      <c r="AV103" s="372" t="s">
        <v>29</v>
      </c>
      <c r="AW103" s="398"/>
      <c r="AX103" s="402"/>
      <c r="AY103" s="397" t="s">
        <v>409</v>
      </c>
      <c r="AZ103" s="372" t="s">
        <v>29</v>
      </c>
      <c r="BA103" s="398"/>
      <c r="BB103" s="402"/>
      <c r="BC103" s="397" t="s">
        <v>409</v>
      </c>
      <c r="BD103" s="372" t="s">
        <v>29</v>
      </c>
      <c r="BE103" s="398"/>
      <c r="BF103" s="402"/>
      <c r="BG103" s="397" t="s">
        <v>409</v>
      </c>
      <c r="BH103" s="372" t="s">
        <v>29</v>
      </c>
      <c r="BI103" s="398"/>
      <c r="BJ103" s="402"/>
    </row>
    <row r="104" spans="1:62" s="556" customFormat="1" ht="18.75">
      <c r="A104" s="551"/>
      <c r="B104" s="552" t="s">
        <v>154</v>
      </c>
      <c r="C104" s="552" t="s">
        <v>28</v>
      </c>
      <c r="D104" s="553"/>
      <c r="E104" s="553"/>
      <c r="F104" s="696"/>
      <c r="G104" s="448" t="s">
        <v>220</v>
      </c>
      <c r="H104" s="697" t="s">
        <v>154</v>
      </c>
      <c r="I104" s="554" t="s">
        <v>28</v>
      </c>
      <c r="J104" s="698">
        <f>J105+J106</f>
        <v>0.8</v>
      </c>
      <c r="K104" s="448" t="s">
        <v>220</v>
      </c>
      <c r="L104" s="555" t="s">
        <v>154</v>
      </c>
      <c r="M104" s="554" t="s">
        <v>28</v>
      </c>
      <c r="N104" s="698">
        <f>N105+N106</f>
        <v>0.09</v>
      </c>
      <c r="O104" s="699" t="e">
        <f t="shared" si="4"/>
        <v>#REF!</v>
      </c>
      <c r="W104" s="448" t="s">
        <v>220</v>
      </c>
      <c r="X104" s="555" t="s">
        <v>154</v>
      </c>
      <c r="Y104" s="554" t="s">
        <v>28</v>
      </c>
      <c r="Z104" s="698">
        <f>Z105+Z106</f>
        <v>0.1</v>
      </c>
      <c r="AA104" s="448" t="s">
        <v>220</v>
      </c>
      <c r="AB104" s="555" t="s">
        <v>242</v>
      </c>
      <c r="AC104" s="554" t="s">
        <v>28</v>
      </c>
      <c r="AD104" s="698">
        <f>AD105+AD106</f>
        <v>0.07</v>
      </c>
      <c r="AE104" s="448" t="s">
        <v>220</v>
      </c>
      <c r="AF104" s="555" t="s">
        <v>226</v>
      </c>
      <c r="AG104" s="554" t="s">
        <v>28</v>
      </c>
      <c r="AH104" s="698">
        <f>AH105+AH106</f>
        <v>0.09</v>
      </c>
      <c r="AI104" s="448" t="s">
        <v>220</v>
      </c>
      <c r="AJ104" s="555" t="s">
        <v>227</v>
      </c>
      <c r="AK104" s="554" t="s">
        <v>28</v>
      </c>
      <c r="AL104" s="698">
        <f>AL105+AL106</f>
        <v>0.06</v>
      </c>
      <c r="AM104" s="448" t="s">
        <v>220</v>
      </c>
      <c r="AN104" s="555" t="s">
        <v>226</v>
      </c>
      <c r="AO104" s="554" t="s">
        <v>28</v>
      </c>
      <c r="AP104" s="698">
        <f>AP105+AP106</f>
        <v>0.06</v>
      </c>
      <c r="AQ104" s="448" t="s">
        <v>220</v>
      </c>
      <c r="AR104" s="555" t="s">
        <v>154</v>
      </c>
      <c r="AS104" s="554" t="s">
        <v>28</v>
      </c>
      <c r="AT104" s="698">
        <f>AT105+AT106</f>
        <v>0.034</v>
      </c>
      <c r="AU104" s="448" t="s">
        <v>220</v>
      </c>
      <c r="AV104" s="555" t="s">
        <v>227</v>
      </c>
      <c r="AW104" s="554" t="s">
        <v>28</v>
      </c>
      <c r="AX104" s="698">
        <f>AX105+AX106</f>
        <v>0.086</v>
      </c>
      <c r="AY104" s="448" t="s">
        <v>220</v>
      </c>
      <c r="AZ104" s="555" t="s">
        <v>226</v>
      </c>
      <c r="BA104" s="554" t="s">
        <v>28</v>
      </c>
      <c r="BB104" s="698">
        <f>BB105+BB106</f>
        <v>0.12</v>
      </c>
      <c r="BC104" s="448" t="s">
        <v>220</v>
      </c>
      <c r="BD104" s="555" t="s">
        <v>154</v>
      </c>
      <c r="BE104" s="554" t="s">
        <v>28</v>
      </c>
      <c r="BF104" s="698">
        <f>BF105+BF106</f>
        <v>0</v>
      </c>
      <c r="BG104" s="448" t="s">
        <v>220</v>
      </c>
      <c r="BH104" s="555" t="s">
        <v>243</v>
      </c>
      <c r="BI104" s="554" t="s">
        <v>28</v>
      </c>
      <c r="BJ104" s="698">
        <f>BJ105+BJ106</f>
        <v>0.09</v>
      </c>
    </row>
    <row r="105" spans="1:62" ht="15">
      <c r="A105" s="78"/>
      <c r="B105" s="98" t="s">
        <v>349</v>
      </c>
      <c r="C105" s="98" t="s">
        <v>28</v>
      </c>
      <c r="D105" s="509">
        <v>1455</v>
      </c>
      <c r="E105" s="509">
        <v>1455</v>
      </c>
      <c r="F105" s="352"/>
      <c r="G105" s="20" t="s">
        <v>194</v>
      </c>
      <c r="H105" s="74" t="s">
        <v>349</v>
      </c>
      <c r="I105" s="11" t="s">
        <v>28</v>
      </c>
      <c r="J105" s="365">
        <f>N105+Z105+AD105+AH105+AL105+AP105+AT105+AX105+BB105+BF105+BJ105</f>
        <v>0.6100000000000001</v>
      </c>
      <c r="K105" s="20" t="s">
        <v>194</v>
      </c>
      <c r="L105" s="74" t="s">
        <v>349</v>
      </c>
      <c r="M105" s="11" t="s">
        <v>28</v>
      </c>
      <c r="N105" s="206">
        <v>0.04</v>
      </c>
      <c r="O105" s="21"/>
      <c r="P105" s="252"/>
      <c r="Q105" s="252"/>
      <c r="R105" s="252"/>
      <c r="S105" s="252"/>
      <c r="T105" s="252"/>
      <c r="U105" s="252"/>
      <c r="V105" s="252"/>
      <c r="W105" s="20" t="s">
        <v>194</v>
      </c>
      <c r="X105" s="74" t="s">
        <v>349</v>
      </c>
      <c r="Y105" s="11" t="s">
        <v>28</v>
      </c>
      <c r="Z105" s="206">
        <v>0.06</v>
      </c>
      <c r="AA105" s="20" t="s">
        <v>194</v>
      </c>
      <c r="AB105" s="74" t="s">
        <v>349</v>
      </c>
      <c r="AC105" s="11" t="s">
        <v>28</v>
      </c>
      <c r="AD105" s="206">
        <v>0.07</v>
      </c>
      <c r="AE105" s="20" t="s">
        <v>194</v>
      </c>
      <c r="AF105" s="74" t="s">
        <v>349</v>
      </c>
      <c r="AG105" s="11" t="s">
        <v>28</v>
      </c>
      <c r="AH105" s="206">
        <v>0.09</v>
      </c>
      <c r="AI105" s="20" t="s">
        <v>194</v>
      </c>
      <c r="AJ105" s="74" t="s">
        <v>349</v>
      </c>
      <c r="AK105" s="11" t="s">
        <v>28</v>
      </c>
      <c r="AL105" s="206">
        <v>0.06</v>
      </c>
      <c r="AM105" s="20" t="s">
        <v>194</v>
      </c>
      <c r="AN105" s="74" t="s">
        <v>349</v>
      </c>
      <c r="AO105" s="11" t="s">
        <v>28</v>
      </c>
      <c r="AP105" s="206">
        <v>0.06</v>
      </c>
      <c r="AQ105" s="20" t="s">
        <v>194</v>
      </c>
      <c r="AR105" s="74" t="s">
        <v>349</v>
      </c>
      <c r="AS105" s="11" t="s">
        <v>28</v>
      </c>
      <c r="AT105" s="206">
        <v>0.02</v>
      </c>
      <c r="AU105" s="20" t="s">
        <v>194</v>
      </c>
      <c r="AV105" s="74" t="s">
        <v>349</v>
      </c>
      <c r="AW105" s="11" t="s">
        <v>28</v>
      </c>
      <c r="AX105" s="206">
        <v>0.05</v>
      </c>
      <c r="AY105" s="20" t="s">
        <v>194</v>
      </c>
      <c r="AZ105" s="74" t="s">
        <v>349</v>
      </c>
      <c r="BA105" s="11" t="s">
        <v>28</v>
      </c>
      <c r="BB105" s="206">
        <v>0.12</v>
      </c>
      <c r="BC105" s="20" t="s">
        <v>194</v>
      </c>
      <c r="BD105" s="74" t="s">
        <v>349</v>
      </c>
      <c r="BE105" s="11" t="s">
        <v>28</v>
      </c>
      <c r="BF105" s="158"/>
      <c r="BG105" s="20" t="s">
        <v>194</v>
      </c>
      <c r="BH105" s="74" t="s">
        <v>349</v>
      </c>
      <c r="BI105" s="11" t="s">
        <v>28</v>
      </c>
      <c r="BJ105" s="206">
        <v>0.04</v>
      </c>
    </row>
    <row r="106" spans="1:62" ht="15">
      <c r="A106" s="78"/>
      <c r="B106" s="98" t="s">
        <v>350</v>
      </c>
      <c r="C106" s="98" t="s">
        <v>28</v>
      </c>
      <c r="D106" s="509">
        <v>3268</v>
      </c>
      <c r="E106" s="509">
        <v>3268</v>
      </c>
      <c r="F106" s="352"/>
      <c r="G106" s="20" t="s">
        <v>195</v>
      </c>
      <c r="H106" s="74" t="s">
        <v>350</v>
      </c>
      <c r="I106" s="11" t="s">
        <v>28</v>
      </c>
      <c r="J106" s="365">
        <f>N106+Z106+AD106+AH106+AL106+AP106+AT106+AX106+BB106+BF106+BJ106</f>
        <v>0.19</v>
      </c>
      <c r="K106" s="20" t="s">
        <v>195</v>
      </c>
      <c r="L106" s="74" t="s">
        <v>350</v>
      </c>
      <c r="M106" s="11" t="s">
        <v>28</v>
      </c>
      <c r="N106" s="206">
        <v>0.05</v>
      </c>
      <c r="O106" s="21"/>
      <c r="P106" s="252"/>
      <c r="Q106" s="252"/>
      <c r="R106" s="252"/>
      <c r="S106" s="252"/>
      <c r="T106" s="252"/>
      <c r="U106" s="252"/>
      <c r="V106" s="252"/>
      <c r="W106" s="20" t="s">
        <v>195</v>
      </c>
      <c r="X106" s="74" t="s">
        <v>350</v>
      </c>
      <c r="Y106" s="11" t="s">
        <v>28</v>
      </c>
      <c r="Z106" s="206">
        <v>0.04</v>
      </c>
      <c r="AA106" s="20" t="s">
        <v>195</v>
      </c>
      <c r="AB106" s="74" t="s">
        <v>350</v>
      </c>
      <c r="AC106" s="11" t="s">
        <v>28</v>
      </c>
      <c r="AD106" s="158"/>
      <c r="AE106" s="20" t="s">
        <v>195</v>
      </c>
      <c r="AF106" s="74" t="s">
        <v>350</v>
      </c>
      <c r="AG106" s="11" t="s">
        <v>28</v>
      </c>
      <c r="AH106" s="158"/>
      <c r="AI106" s="20" t="s">
        <v>195</v>
      </c>
      <c r="AJ106" s="74" t="s">
        <v>350</v>
      </c>
      <c r="AK106" s="11" t="s">
        <v>28</v>
      </c>
      <c r="AL106" s="158"/>
      <c r="AM106" s="20" t="s">
        <v>195</v>
      </c>
      <c r="AN106" s="74" t="s">
        <v>350</v>
      </c>
      <c r="AO106" s="11" t="s">
        <v>28</v>
      </c>
      <c r="AP106" s="158"/>
      <c r="AQ106" s="20" t="s">
        <v>195</v>
      </c>
      <c r="AR106" s="74" t="s">
        <v>350</v>
      </c>
      <c r="AS106" s="11" t="s">
        <v>28</v>
      </c>
      <c r="AT106" s="206">
        <v>0.014</v>
      </c>
      <c r="AU106" s="20" t="s">
        <v>195</v>
      </c>
      <c r="AV106" s="74" t="s">
        <v>350</v>
      </c>
      <c r="AW106" s="11" t="s">
        <v>28</v>
      </c>
      <c r="AX106" s="206">
        <v>0.036</v>
      </c>
      <c r="AY106" s="20" t="s">
        <v>195</v>
      </c>
      <c r="AZ106" s="74" t="s">
        <v>350</v>
      </c>
      <c r="BA106" s="11" t="s">
        <v>28</v>
      </c>
      <c r="BB106" s="158"/>
      <c r="BC106" s="20" t="s">
        <v>195</v>
      </c>
      <c r="BD106" s="74" t="s">
        <v>350</v>
      </c>
      <c r="BE106" s="11" t="s">
        <v>28</v>
      </c>
      <c r="BF106" s="158"/>
      <c r="BG106" s="20" t="s">
        <v>195</v>
      </c>
      <c r="BH106" s="74" t="s">
        <v>350</v>
      </c>
      <c r="BI106" s="11" t="s">
        <v>28</v>
      </c>
      <c r="BJ106" s="206">
        <v>0.05</v>
      </c>
    </row>
    <row r="107" spans="1:62" ht="15">
      <c r="A107" s="78"/>
      <c r="B107" s="98" t="s">
        <v>153</v>
      </c>
      <c r="C107" s="98" t="s">
        <v>215</v>
      </c>
      <c r="D107" s="510">
        <v>15.28</v>
      </c>
      <c r="E107" s="510">
        <v>20.517</v>
      </c>
      <c r="F107" s="352"/>
      <c r="G107" s="20" t="s">
        <v>196</v>
      </c>
      <c r="H107" s="74" t="s">
        <v>153</v>
      </c>
      <c r="I107" s="11" t="s">
        <v>11</v>
      </c>
      <c r="J107" s="534">
        <f>N107+Z107+AD107+AH107+AL107+AP107+AT107+AX107+BB107+BF107+BJ107</f>
        <v>11</v>
      </c>
      <c r="K107" s="20" t="s">
        <v>196</v>
      </c>
      <c r="L107" s="3" t="s">
        <v>153</v>
      </c>
      <c r="M107" s="11" t="s">
        <v>11</v>
      </c>
      <c r="N107" s="158">
        <v>1</v>
      </c>
      <c r="O107" s="21" t="e">
        <f>O104-P104</f>
        <v>#REF!</v>
      </c>
      <c r="P107" s="252"/>
      <c r="Q107" s="252"/>
      <c r="R107" s="252"/>
      <c r="S107" s="252"/>
      <c r="T107" s="252"/>
      <c r="U107" s="252"/>
      <c r="V107" s="252"/>
      <c r="W107" s="20" t="s">
        <v>196</v>
      </c>
      <c r="X107" s="3" t="s">
        <v>153</v>
      </c>
      <c r="Y107" s="11" t="s">
        <v>11</v>
      </c>
      <c r="Z107" s="249">
        <v>1</v>
      </c>
      <c r="AA107" s="20" t="s">
        <v>196</v>
      </c>
      <c r="AB107" s="3" t="s">
        <v>153</v>
      </c>
      <c r="AC107" s="11" t="s">
        <v>11</v>
      </c>
      <c r="AD107" s="158">
        <v>1</v>
      </c>
      <c r="AE107" s="20" t="s">
        <v>196</v>
      </c>
      <c r="AF107" s="3" t="s">
        <v>153</v>
      </c>
      <c r="AG107" s="11" t="s">
        <v>11</v>
      </c>
      <c r="AH107" s="249">
        <v>1</v>
      </c>
      <c r="AI107" s="20" t="s">
        <v>196</v>
      </c>
      <c r="AJ107" s="3" t="s">
        <v>153</v>
      </c>
      <c r="AK107" s="11" t="s">
        <v>11</v>
      </c>
      <c r="AL107" s="158">
        <v>1</v>
      </c>
      <c r="AM107" s="20" t="s">
        <v>196</v>
      </c>
      <c r="AN107" s="3" t="s">
        <v>153</v>
      </c>
      <c r="AO107" s="11" t="s">
        <v>11</v>
      </c>
      <c r="AP107" s="158">
        <v>1</v>
      </c>
      <c r="AQ107" s="20" t="s">
        <v>196</v>
      </c>
      <c r="AR107" s="3" t="s">
        <v>153</v>
      </c>
      <c r="AS107" s="11" t="s">
        <v>11</v>
      </c>
      <c r="AT107" s="158">
        <v>1</v>
      </c>
      <c r="AU107" s="20" t="s">
        <v>196</v>
      </c>
      <c r="AV107" s="3" t="s">
        <v>153</v>
      </c>
      <c r="AW107" s="11" t="s">
        <v>11</v>
      </c>
      <c r="AX107" s="158">
        <v>1</v>
      </c>
      <c r="AY107" s="20" t="s">
        <v>196</v>
      </c>
      <c r="AZ107" s="3" t="s">
        <v>377</v>
      </c>
      <c r="BA107" s="11" t="s">
        <v>11</v>
      </c>
      <c r="BB107" s="158">
        <v>1</v>
      </c>
      <c r="BC107" s="20" t="s">
        <v>196</v>
      </c>
      <c r="BD107" s="3" t="s">
        <v>377</v>
      </c>
      <c r="BE107" s="11" t="s">
        <v>11</v>
      </c>
      <c r="BF107" s="158">
        <v>1</v>
      </c>
      <c r="BG107" s="20" t="s">
        <v>196</v>
      </c>
      <c r="BH107" s="3" t="s">
        <v>153</v>
      </c>
      <c r="BI107" s="11" t="s">
        <v>11</v>
      </c>
      <c r="BJ107" s="158">
        <v>1</v>
      </c>
    </row>
    <row r="108" spans="1:62" ht="15">
      <c r="A108" s="78"/>
      <c r="B108" s="98" t="s">
        <v>35</v>
      </c>
      <c r="C108" s="98" t="s">
        <v>28</v>
      </c>
      <c r="D108" s="509">
        <v>826</v>
      </c>
      <c r="E108" s="509">
        <v>826</v>
      </c>
      <c r="F108" s="352"/>
      <c r="G108" s="20" t="s">
        <v>197</v>
      </c>
      <c r="H108" s="74" t="s">
        <v>35</v>
      </c>
      <c r="I108" s="11" t="s">
        <v>28</v>
      </c>
      <c r="J108" s="365">
        <f>N108+Z108+AD108+AH108+AL108+AP108+AT108+AX108+BB108+BF108+BJ108</f>
        <v>0.154</v>
      </c>
      <c r="K108" s="20" t="s">
        <v>197</v>
      </c>
      <c r="L108" s="3" t="s">
        <v>35</v>
      </c>
      <c r="M108" s="11" t="s">
        <v>28</v>
      </c>
      <c r="N108" s="158"/>
      <c r="O108" s="21" t="e">
        <f t="shared" si="4"/>
        <v>#REF!</v>
      </c>
      <c r="P108" s="252"/>
      <c r="Q108" s="252"/>
      <c r="R108" s="252"/>
      <c r="S108" s="252"/>
      <c r="T108" s="252"/>
      <c r="U108" s="252"/>
      <c r="V108" s="252"/>
      <c r="W108" s="20" t="s">
        <v>197</v>
      </c>
      <c r="X108" s="3" t="s">
        <v>35</v>
      </c>
      <c r="Y108" s="11" t="s">
        <v>28</v>
      </c>
      <c r="Z108" s="206">
        <v>0.01</v>
      </c>
      <c r="AA108" s="20" t="s">
        <v>197</v>
      </c>
      <c r="AB108" s="3" t="s">
        <v>35</v>
      </c>
      <c r="AC108" s="11" t="s">
        <v>28</v>
      </c>
      <c r="AD108" s="158"/>
      <c r="AE108" s="20" t="s">
        <v>197</v>
      </c>
      <c r="AF108" s="3" t="s">
        <v>35</v>
      </c>
      <c r="AG108" s="11" t="s">
        <v>28</v>
      </c>
      <c r="AH108" s="206">
        <v>0.02</v>
      </c>
      <c r="AI108" s="20" t="s">
        <v>197</v>
      </c>
      <c r="AJ108" s="3" t="s">
        <v>35</v>
      </c>
      <c r="AK108" s="11" t="s">
        <v>28</v>
      </c>
      <c r="AL108" s="158">
        <v>0.016</v>
      </c>
      <c r="AM108" s="20" t="s">
        <v>197</v>
      </c>
      <c r="AN108" s="3" t="s">
        <v>35</v>
      </c>
      <c r="AO108" s="11" t="s">
        <v>28</v>
      </c>
      <c r="AP108" s="206">
        <v>0.02</v>
      </c>
      <c r="AQ108" s="20" t="s">
        <v>197</v>
      </c>
      <c r="AR108" s="3" t="s">
        <v>35</v>
      </c>
      <c r="AS108" s="11" t="s">
        <v>28</v>
      </c>
      <c r="AT108" s="158"/>
      <c r="AU108" s="20" t="s">
        <v>197</v>
      </c>
      <c r="AV108" s="3" t="s">
        <v>35</v>
      </c>
      <c r="AW108" s="11" t="s">
        <v>28</v>
      </c>
      <c r="AX108" s="206">
        <v>0.03</v>
      </c>
      <c r="AY108" s="20" t="s">
        <v>197</v>
      </c>
      <c r="AZ108" s="3" t="s">
        <v>35</v>
      </c>
      <c r="BA108" s="11" t="s">
        <v>28</v>
      </c>
      <c r="BB108" s="206">
        <v>0.02</v>
      </c>
      <c r="BC108" s="20" t="s">
        <v>197</v>
      </c>
      <c r="BD108" s="3" t="s">
        <v>35</v>
      </c>
      <c r="BE108" s="11" t="s">
        <v>28</v>
      </c>
      <c r="BF108" s="158">
        <v>0.018</v>
      </c>
      <c r="BG108" s="20" t="s">
        <v>197</v>
      </c>
      <c r="BH108" s="3" t="s">
        <v>35</v>
      </c>
      <c r="BI108" s="11" t="s">
        <v>28</v>
      </c>
      <c r="BJ108" s="206">
        <v>0.02</v>
      </c>
    </row>
    <row r="109" spans="1:62" ht="12.75" customHeight="1" hidden="1">
      <c r="A109" s="78"/>
      <c r="B109" s="98" t="s">
        <v>37</v>
      </c>
      <c r="C109" s="98" t="s">
        <v>28</v>
      </c>
      <c r="D109" s="100"/>
      <c r="E109" s="100"/>
      <c r="F109" s="352"/>
      <c r="G109" s="20" t="s">
        <v>198</v>
      </c>
      <c r="H109" s="74" t="s">
        <v>37</v>
      </c>
      <c r="I109" s="11" t="s">
        <v>28</v>
      </c>
      <c r="J109" s="534">
        <f>N109+Z109+AD109+AH109+AL109+AP109+AT109+AX109+BB109+BF109+BJ109</f>
        <v>0</v>
      </c>
      <c r="K109" s="20" t="s">
        <v>198</v>
      </c>
      <c r="L109" s="3" t="s">
        <v>37</v>
      </c>
      <c r="M109" s="11" t="s">
        <v>28</v>
      </c>
      <c r="N109" s="158"/>
      <c r="O109" s="21" t="e">
        <f t="shared" si="4"/>
        <v>#REF!</v>
      </c>
      <c r="P109" s="252"/>
      <c r="Q109" s="252"/>
      <c r="R109" s="252"/>
      <c r="S109" s="252"/>
      <c r="T109" s="252"/>
      <c r="U109" s="252"/>
      <c r="V109" s="252"/>
      <c r="W109" s="20" t="s">
        <v>198</v>
      </c>
      <c r="X109" s="3" t="s">
        <v>37</v>
      </c>
      <c r="Y109" s="11" t="s">
        <v>28</v>
      </c>
      <c r="Z109" s="158"/>
      <c r="AA109" s="20" t="s">
        <v>198</v>
      </c>
      <c r="AB109" s="3" t="s">
        <v>37</v>
      </c>
      <c r="AC109" s="11" t="s">
        <v>28</v>
      </c>
      <c r="AD109" s="158"/>
      <c r="AE109" s="20" t="s">
        <v>198</v>
      </c>
      <c r="AF109" s="3" t="s">
        <v>37</v>
      </c>
      <c r="AG109" s="11" t="s">
        <v>28</v>
      </c>
      <c r="AH109" s="158"/>
      <c r="AI109" s="20" t="s">
        <v>198</v>
      </c>
      <c r="AJ109" s="3" t="s">
        <v>37</v>
      </c>
      <c r="AK109" s="11" t="s">
        <v>28</v>
      </c>
      <c r="AL109" s="158"/>
      <c r="AM109" s="20" t="s">
        <v>198</v>
      </c>
      <c r="AN109" s="3" t="s">
        <v>37</v>
      </c>
      <c r="AO109" s="11" t="s">
        <v>28</v>
      </c>
      <c r="AP109" s="158"/>
      <c r="AQ109" s="20" t="s">
        <v>198</v>
      </c>
      <c r="AR109" s="3" t="s">
        <v>37</v>
      </c>
      <c r="AS109" s="11" t="s">
        <v>28</v>
      </c>
      <c r="AT109" s="158"/>
      <c r="AU109" s="20" t="s">
        <v>198</v>
      </c>
      <c r="AV109" s="3" t="s">
        <v>37</v>
      </c>
      <c r="AW109" s="11" t="s">
        <v>28</v>
      </c>
      <c r="AX109" s="158"/>
      <c r="AY109" s="20" t="s">
        <v>198</v>
      </c>
      <c r="AZ109" s="3" t="s">
        <v>37</v>
      </c>
      <c r="BA109" s="11" t="s">
        <v>28</v>
      </c>
      <c r="BB109" s="158"/>
      <c r="BC109" s="20" t="s">
        <v>198</v>
      </c>
      <c r="BD109" s="3" t="s">
        <v>37</v>
      </c>
      <c r="BE109" s="11" t="s">
        <v>28</v>
      </c>
      <c r="BF109" s="158"/>
      <c r="BG109" s="20" t="s">
        <v>198</v>
      </c>
      <c r="BH109" s="3" t="s">
        <v>37</v>
      </c>
      <c r="BI109" s="11" t="s">
        <v>28</v>
      </c>
      <c r="BJ109" s="158"/>
    </row>
    <row r="110" spans="1:62" ht="15">
      <c r="A110" s="78"/>
      <c r="B110" s="98" t="s">
        <v>211</v>
      </c>
      <c r="C110" s="98" t="s">
        <v>212</v>
      </c>
      <c r="D110" s="100"/>
      <c r="E110" s="100"/>
      <c r="F110" s="352"/>
      <c r="G110" s="20" t="s">
        <v>198</v>
      </c>
      <c r="H110" s="74" t="s">
        <v>348</v>
      </c>
      <c r="I110" s="11"/>
      <c r="J110" s="534"/>
      <c r="K110" s="20" t="s">
        <v>198</v>
      </c>
      <c r="L110" s="3" t="s">
        <v>348</v>
      </c>
      <c r="M110" s="11" t="s">
        <v>212</v>
      </c>
      <c r="N110" s="158"/>
      <c r="O110" s="21" t="e">
        <f t="shared" si="4"/>
        <v>#REF!</v>
      </c>
      <c r="P110" s="252"/>
      <c r="Q110" s="252"/>
      <c r="R110" s="252"/>
      <c r="S110" s="252"/>
      <c r="T110" s="252"/>
      <c r="U110" s="252"/>
      <c r="V110" s="252"/>
      <c r="W110" s="20" t="s">
        <v>198</v>
      </c>
      <c r="X110" s="3" t="s">
        <v>348</v>
      </c>
      <c r="Y110" s="11" t="s">
        <v>25</v>
      </c>
      <c r="Z110" s="158"/>
      <c r="AA110" s="20" t="s">
        <v>198</v>
      </c>
      <c r="AB110" s="3" t="s">
        <v>348</v>
      </c>
      <c r="AC110" s="11" t="s">
        <v>25</v>
      </c>
      <c r="AD110" s="158"/>
      <c r="AE110" s="20" t="s">
        <v>198</v>
      </c>
      <c r="AF110" s="3" t="s">
        <v>348</v>
      </c>
      <c r="AG110" s="11" t="s">
        <v>25</v>
      </c>
      <c r="AH110" s="158"/>
      <c r="AI110" s="20" t="s">
        <v>198</v>
      </c>
      <c r="AJ110" s="3" t="s">
        <v>348</v>
      </c>
      <c r="AK110" s="11" t="s">
        <v>25</v>
      </c>
      <c r="AL110" s="158"/>
      <c r="AM110" s="20" t="s">
        <v>198</v>
      </c>
      <c r="AN110" s="3" t="s">
        <v>348</v>
      </c>
      <c r="AO110" s="11" t="s">
        <v>25</v>
      </c>
      <c r="AP110" s="158"/>
      <c r="AQ110" s="20" t="s">
        <v>198</v>
      </c>
      <c r="AR110" s="3" t="s">
        <v>348</v>
      </c>
      <c r="AS110" s="11" t="s">
        <v>25</v>
      </c>
      <c r="AT110" s="158"/>
      <c r="AU110" s="20" t="s">
        <v>198</v>
      </c>
      <c r="AV110" s="3" t="s">
        <v>348</v>
      </c>
      <c r="AW110" s="11" t="s">
        <v>25</v>
      </c>
      <c r="AX110" s="158"/>
      <c r="AY110" s="20" t="s">
        <v>198</v>
      </c>
      <c r="AZ110" s="3" t="s">
        <v>348</v>
      </c>
      <c r="BA110" s="11" t="s">
        <v>25</v>
      </c>
      <c r="BB110" s="158"/>
      <c r="BC110" s="20" t="s">
        <v>198</v>
      </c>
      <c r="BD110" s="3" t="s">
        <v>348</v>
      </c>
      <c r="BE110" s="11" t="s">
        <v>25</v>
      </c>
      <c r="BF110" s="158"/>
      <c r="BG110" s="20" t="s">
        <v>198</v>
      </c>
      <c r="BH110" s="3" t="s">
        <v>211</v>
      </c>
      <c r="BI110" s="11" t="s">
        <v>25</v>
      </c>
      <c r="BJ110" s="158"/>
    </row>
    <row r="111" spans="1:62" ht="15" hidden="1">
      <c r="A111" s="78"/>
      <c r="B111" s="98" t="s">
        <v>384</v>
      </c>
      <c r="C111" s="98"/>
      <c r="D111" s="100"/>
      <c r="E111" s="100"/>
      <c r="F111" s="352"/>
      <c r="G111" s="20"/>
      <c r="H111" s="74"/>
      <c r="I111" s="11"/>
      <c r="J111" s="534"/>
      <c r="K111" s="20"/>
      <c r="L111" s="3" t="s">
        <v>384</v>
      </c>
      <c r="M111" s="11"/>
      <c r="N111" s="158"/>
      <c r="O111" s="21"/>
      <c r="P111" s="252"/>
      <c r="Q111" s="252"/>
      <c r="R111" s="252"/>
      <c r="S111" s="252"/>
      <c r="T111" s="252"/>
      <c r="U111" s="252"/>
      <c r="V111" s="252"/>
      <c r="W111" s="20"/>
      <c r="X111" s="3" t="s">
        <v>384</v>
      </c>
      <c r="Y111" s="11" t="s">
        <v>25</v>
      </c>
      <c r="Z111" s="158"/>
      <c r="AA111" s="20"/>
      <c r="AB111" s="3" t="s">
        <v>384</v>
      </c>
      <c r="AC111" s="11"/>
      <c r="AD111" s="158"/>
      <c r="AE111" s="20"/>
      <c r="AF111" s="3" t="s">
        <v>384</v>
      </c>
      <c r="AG111" s="11"/>
      <c r="AH111" s="158"/>
      <c r="AI111" s="20"/>
      <c r="AJ111" s="3" t="s">
        <v>384</v>
      </c>
      <c r="AK111" s="11"/>
      <c r="AL111" s="158"/>
      <c r="AM111" s="20"/>
      <c r="AN111" s="3" t="s">
        <v>384</v>
      </c>
      <c r="AO111" s="11"/>
      <c r="AP111" s="158"/>
      <c r="AQ111" s="20"/>
      <c r="AR111" s="3" t="s">
        <v>384</v>
      </c>
      <c r="AS111" s="11"/>
      <c r="AT111" s="158"/>
      <c r="AU111" s="20"/>
      <c r="AV111" s="3" t="s">
        <v>384</v>
      </c>
      <c r="AW111" s="11"/>
      <c r="AX111" s="158"/>
      <c r="AY111" s="20"/>
      <c r="AZ111" s="3" t="s">
        <v>384</v>
      </c>
      <c r="BA111" s="11"/>
      <c r="BB111" s="158"/>
      <c r="BC111" s="20"/>
      <c r="BD111" s="3" t="s">
        <v>384</v>
      </c>
      <c r="BE111" s="11"/>
      <c r="BF111" s="158"/>
      <c r="BG111" s="20"/>
      <c r="BH111" s="3" t="s">
        <v>384</v>
      </c>
      <c r="BI111" s="11"/>
      <c r="BJ111" s="158"/>
    </row>
    <row r="112" spans="1:62" ht="15">
      <c r="A112" s="78"/>
      <c r="B112" s="98" t="s">
        <v>30</v>
      </c>
      <c r="C112" s="98" t="s">
        <v>25</v>
      </c>
      <c r="D112" s="100">
        <v>0</v>
      </c>
      <c r="E112" s="100">
        <v>0</v>
      </c>
      <c r="F112" s="352"/>
      <c r="G112" s="20" t="s">
        <v>359</v>
      </c>
      <c r="H112" s="74" t="s">
        <v>30</v>
      </c>
      <c r="I112" s="11" t="s">
        <v>25</v>
      </c>
      <c r="J112" s="182"/>
      <c r="K112" s="20" t="s">
        <v>359</v>
      </c>
      <c r="L112" s="3" t="s">
        <v>30</v>
      </c>
      <c r="M112" s="11" t="s">
        <v>25</v>
      </c>
      <c r="N112" s="158"/>
      <c r="O112" s="21" t="e">
        <f>O110-P110</f>
        <v>#REF!</v>
      </c>
      <c r="P112" s="252"/>
      <c r="Q112" s="252"/>
      <c r="R112" s="252"/>
      <c r="S112" s="252"/>
      <c r="T112" s="252"/>
      <c r="U112" s="252"/>
      <c r="V112" s="252"/>
      <c r="W112" s="20" t="s">
        <v>359</v>
      </c>
      <c r="X112" s="3" t="s">
        <v>30</v>
      </c>
      <c r="Y112" s="11" t="s">
        <v>25</v>
      </c>
      <c r="Z112" s="158"/>
      <c r="AA112" s="20" t="s">
        <v>359</v>
      </c>
      <c r="AB112" s="3" t="s">
        <v>30</v>
      </c>
      <c r="AC112" s="11" t="s">
        <v>25</v>
      </c>
      <c r="AD112" s="158"/>
      <c r="AE112" s="20" t="s">
        <v>359</v>
      </c>
      <c r="AF112" s="3" t="s">
        <v>30</v>
      </c>
      <c r="AG112" s="11" t="s">
        <v>25</v>
      </c>
      <c r="AH112" s="158"/>
      <c r="AI112" s="20" t="s">
        <v>359</v>
      </c>
      <c r="AJ112" s="3" t="s">
        <v>30</v>
      </c>
      <c r="AK112" s="11" t="s">
        <v>25</v>
      </c>
      <c r="AL112" s="158"/>
      <c r="AM112" s="20" t="s">
        <v>359</v>
      </c>
      <c r="AN112" s="3" t="s">
        <v>30</v>
      </c>
      <c r="AO112" s="11" t="s">
        <v>25</v>
      </c>
      <c r="AP112" s="158"/>
      <c r="AQ112" s="20" t="s">
        <v>359</v>
      </c>
      <c r="AR112" s="3" t="s">
        <v>30</v>
      </c>
      <c r="AS112" s="11" t="s">
        <v>25</v>
      </c>
      <c r="AT112" s="158"/>
      <c r="AU112" s="20" t="s">
        <v>359</v>
      </c>
      <c r="AV112" s="3" t="s">
        <v>30</v>
      </c>
      <c r="AW112" s="11" t="s">
        <v>25</v>
      </c>
      <c r="AX112" s="158"/>
      <c r="AY112" s="20" t="s">
        <v>359</v>
      </c>
      <c r="AZ112" s="3" t="s">
        <v>30</v>
      </c>
      <c r="BA112" s="11" t="s">
        <v>25</v>
      </c>
      <c r="BB112" s="158"/>
      <c r="BC112" s="20" t="s">
        <v>359</v>
      </c>
      <c r="BD112" s="3" t="s">
        <v>30</v>
      </c>
      <c r="BE112" s="11" t="s">
        <v>25</v>
      </c>
      <c r="BF112" s="158"/>
      <c r="BG112" s="20" t="s">
        <v>359</v>
      </c>
      <c r="BH112" s="3" t="s">
        <v>30</v>
      </c>
      <c r="BI112" s="11" t="s">
        <v>25</v>
      </c>
      <c r="BJ112" s="158"/>
    </row>
    <row r="113" spans="1:62" ht="15">
      <c r="A113" s="78"/>
      <c r="B113" s="98"/>
      <c r="C113" s="98"/>
      <c r="D113" s="100">
        <v>0</v>
      </c>
      <c r="E113" s="100">
        <v>0</v>
      </c>
      <c r="F113" s="352"/>
      <c r="G113" s="39"/>
      <c r="H113" s="329" t="s">
        <v>216</v>
      </c>
      <c r="I113" s="43"/>
      <c r="J113" s="205"/>
      <c r="K113" s="39"/>
      <c r="L113" s="41" t="s">
        <v>216</v>
      </c>
      <c r="M113" s="43"/>
      <c r="N113" s="160"/>
      <c r="O113" s="21" t="e">
        <f t="shared" si="4"/>
        <v>#REF!</v>
      </c>
      <c r="P113" s="252"/>
      <c r="Q113" s="252"/>
      <c r="R113" s="252"/>
      <c r="S113" s="252"/>
      <c r="T113" s="252"/>
      <c r="U113" s="252"/>
      <c r="V113" s="252"/>
      <c r="W113" s="39"/>
      <c r="X113" s="41" t="s">
        <v>216</v>
      </c>
      <c r="Y113" s="43"/>
      <c r="Z113" s="160"/>
      <c r="AA113" s="39"/>
      <c r="AB113" s="41" t="s">
        <v>216</v>
      </c>
      <c r="AC113" s="43"/>
      <c r="AD113" s="160"/>
      <c r="AE113" s="39"/>
      <c r="AF113" s="41" t="s">
        <v>216</v>
      </c>
      <c r="AG113" s="43"/>
      <c r="AH113" s="160"/>
      <c r="AI113" s="39"/>
      <c r="AJ113" s="41" t="s">
        <v>216</v>
      </c>
      <c r="AK113" s="43"/>
      <c r="AL113" s="160"/>
      <c r="AM113" s="39"/>
      <c r="AN113" s="41" t="s">
        <v>216</v>
      </c>
      <c r="AO113" s="43"/>
      <c r="AP113" s="160"/>
      <c r="AQ113" s="39"/>
      <c r="AR113" s="41" t="s">
        <v>216</v>
      </c>
      <c r="AS113" s="43"/>
      <c r="AT113" s="160"/>
      <c r="AU113" s="39"/>
      <c r="AV113" s="41" t="s">
        <v>216</v>
      </c>
      <c r="AW113" s="43"/>
      <c r="AX113" s="160"/>
      <c r="AY113" s="39"/>
      <c r="AZ113" s="41" t="s">
        <v>216</v>
      </c>
      <c r="BA113" s="43"/>
      <c r="BB113" s="160"/>
      <c r="BC113" s="39"/>
      <c r="BD113" s="41" t="s">
        <v>216</v>
      </c>
      <c r="BE113" s="43"/>
      <c r="BF113" s="160"/>
      <c r="BG113" s="39"/>
      <c r="BH113" s="41" t="s">
        <v>216</v>
      </c>
      <c r="BI113" s="43"/>
      <c r="BJ113" s="160"/>
    </row>
    <row r="114" spans="2:62" s="235" customFormat="1" ht="18.75">
      <c r="B114" s="407"/>
      <c r="C114" s="407"/>
      <c r="D114" s="525">
        <v>0</v>
      </c>
      <c r="E114" s="525">
        <v>0</v>
      </c>
      <c r="F114" s="440"/>
      <c r="G114" s="397" t="s">
        <v>410</v>
      </c>
      <c r="H114" s="437" t="s">
        <v>32</v>
      </c>
      <c r="I114" s="398"/>
      <c r="J114" s="443"/>
      <c r="K114" s="397" t="s">
        <v>410</v>
      </c>
      <c r="L114" s="372" t="s">
        <v>32</v>
      </c>
      <c r="M114" s="398"/>
      <c r="N114" s="402"/>
      <c r="O114" s="441" t="e">
        <f t="shared" si="4"/>
        <v>#REF!</v>
      </c>
      <c r="W114" s="397" t="s">
        <v>410</v>
      </c>
      <c r="X114" s="372" t="s">
        <v>32</v>
      </c>
      <c r="Y114" s="398"/>
      <c r="Z114" s="402"/>
      <c r="AA114" s="397" t="s">
        <v>410</v>
      </c>
      <c r="AB114" s="372" t="s">
        <v>32</v>
      </c>
      <c r="AC114" s="398"/>
      <c r="AD114" s="402"/>
      <c r="AE114" s="397" t="s">
        <v>410</v>
      </c>
      <c r="AF114" s="372" t="s">
        <v>32</v>
      </c>
      <c r="AG114" s="398"/>
      <c r="AH114" s="402"/>
      <c r="AI114" s="397" t="s">
        <v>410</v>
      </c>
      <c r="AJ114" s="372" t="s">
        <v>32</v>
      </c>
      <c r="AK114" s="398"/>
      <c r="AL114" s="402"/>
      <c r="AM114" s="397" t="s">
        <v>410</v>
      </c>
      <c r="AN114" s="372" t="s">
        <v>32</v>
      </c>
      <c r="AO114" s="398"/>
      <c r="AP114" s="402"/>
      <c r="AQ114" s="397" t="s">
        <v>410</v>
      </c>
      <c r="AR114" s="372" t="s">
        <v>32</v>
      </c>
      <c r="AS114" s="398"/>
      <c r="AT114" s="402"/>
      <c r="AU114" s="397" t="s">
        <v>410</v>
      </c>
      <c r="AV114" s="372" t="s">
        <v>32</v>
      </c>
      <c r="AW114" s="398"/>
      <c r="AX114" s="402"/>
      <c r="AY114" s="397" t="s">
        <v>410</v>
      </c>
      <c r="AZ114" s="372" t="s">
        <v>32</v>
      </c>
      <c r="BA114" s="398"/>
      <c r="BB114" s="402"/>
      <c r="BC114" s="397" t="s">
        <v>410</v>
      </c>
      <c r="BD114" s="372" t="s">
        <v>32</v>
      </c>
      <c r="BE114" s="398"/>
      <c r="BF114" s="402"/>
      <c r="BG114" s="397" t="s">
        <v>410</v>
      </c>
      <c r="BH114" s="372" t="s">
        <v>32</v>
      </c>
      <c r="BI114" s="398"/>
      <c r="BJ114" s="402"/>
    </row>
    <row r="115" spans="1:62" s="30" customFormat="1" ht="18.75">
      <c r="A115" s="266"/>
      <c r="B115" s="557" t="s">
        <v>155</v>
      </c>
      <c r="C115" s="557" t="s">
        <v>28</v>
      </c>
      <c r="D115" s="558"/>
      <c r="E115" s="558"/>
      <c r="F115" s="559"/>
      <c r="G115" s="448" t="s">
        <v>221</v>
      </c>
      <c r="H115" s="561" t="s">
        <v>250</v>
      </c>
      <c r="I115" s="562" t="s">
        <v>28</v>
      </c>
      <c r="J115" s="563">
        <f>J116+J117</f>
        <v>1.5980000000000003</v>
      </c>
      <c r="K115" s="448" t="s">
        <v>221</v>
      </c>
      <c r="L115" s="93" t="s">
        <v>155</v>
      </c>
      <c r="M115" s="562" t="s">
        <v>28</v>
      </c>
      <c r="N115" s="567">
        <f>N116+N117</f>
        <v>0.1</v>
      </c>
      <c r="O115" s="122" t="e">
        <f t="shared" si="4"/>
        <v>#REF!</v>
      </c>
      <c r="W115" s="448" t="s">
        <v>221</v>
      </c>
      <c r="X115" s="93" t="s">
        <v>155</v>
      </c>
      <c r="Y115" s="562" t="s">
        <v>28</v>
      </c>
      <c r="Z115" s="567">
        <f>Z116+Z117</f>
        <v>0.18</v>
      </c>
      <c r="AA115" s="448" t="s">
        <v>221</v>
      </c>
      <c r="AB115" s="93" t="s">
        <v>224</v>
      </c>
      <c r="AC115" s="562" t="s">
        <v>28</v>
      </c>
      <c r="AD115" s="567">
        <f>AD116+AD117</f>
        <v>0.11</v>
      </c>
      <c r="AE115" s="448" t="s">
        <v>221</v>
      </c>
      <c r="AF115" s="93" t="s">
        <v>223</v>
      </c>
      <c r="AG115" s="562" t="s">
        <v>28</v>
      </c>
      <c r="AH115" s="567">
        <f>AH116+AH117</f>
        <v>0.222</v>
      </c>
      <c r="AI115" s="448" t="s">
        <v>221</v>
      </c>
      <c r="AJ115" s="93" t="s">
        <v>225</v>
      </c>
      <c r="AK115" s="562" t="s">
        <v>28</v>
      </c>
      <c r="AL115" s="567">
        <f>AL116+AL117</f>
        <v>0.1</v>
      </c>
      <c r="AM115" s="448" t="s">
        <v>221</v>
      </c>
      <c r="AN115" s="93" t="s">
        <v>155</v>
      </c>
      <c r="AO115" s="562" t="s">
        <v>28</v>
      </c>
      <c r="AP115" s="567">
        <f>AP116+AP117</f>
        <v>0.09</v>
      </c>
      <c r="AQ115" s="448" t="s">
        <v>221</v>
      </c>
      <c r="AR115" s="93" t="s">
        <v>155</v>
      </c>
      <c r="AS115" s="562" t="s">
        <v>28</v>
      </c>
      <c r="AT115" s="567">
        <f>AT116+AT117</f>
        <v>0.09</v>
      </c>
      <c r="AU115" s="448" t="s">
        <v>221</v>
      </c>
      <c r="AV115" s="93" t="s">
        <v>155</v>
      </c>
      <c r="AW115" s="562" t="s">
        <v>28</v>
      </c>
      <c r="AX115" s="567">
        <f>AX116+AX117</f>
        <v>0.13</v>
      </c>
      <c r="AY115" s="448" t="s">
        <v>221</v>
      </c>
      <c r="AZ115" s="93" t="s">
        <v>228</v>
      </c>
      <c r="BA115" s="562" t="s">
        <v>28</v>
      </c>
      <c r="BB115" s="567">
        <f>BB116+BB117</f>
        <v>0.276</v>
      </c>
      <c r="BC115" s="448" t="s">
        <v>221</v>
      </c>
      <c r="BD115" s="93" t="s">
        <v>229</v>
      </c>
      <c r="BE115" s="562" t="s">
        <v>28</v>
      </c>
      <c r="BF115" s="567">
        <f>BF116+BF117</f>
        <v>0.12</v>
      </c>
      <c r="BG115" s="448" t="s">
        <v>221</v>
      </c>
      <c r="BH115" s="93" t="s">
        <v>230</v>
      </c>
      <c r="BI115" s="562" t="s">
        <v>28</v>
      </c>
      <c r="BJ115" s="567">
        <f>BJ116+BJ117</f>
        <v>0.18</v>
      </c>
    </row>
    <row r="116" spans="1:63" ht="15">
      <c r="A116" s="78"/>
      <c r="B116" s="98" t="s">
        <v>357</v>
      </c>
      <c r="C116" s="98" t="s">
        <v>28</v>
      </c>
      <c r="D116" s="503">
        <f>(1282+1125)/2</f>
        <v>1203.5</v>
      </c>
      <c r="E116" s="503">
        <f>(1282+1125)/2</f>
        <v>1203.5</v>
      </c>
      <c r="F116" s="352"/>
      <c r="G116" s="20" t="s">
        <v>81</v>
      </c>
      <c r="H116" s="74" t="s">
        <v>349</v>
      </c>
      <c r="I116" s="11" t="s">
        <v>28</v>
      </c>
      <c r="J116" s="386">
        <f aca="true" t="shared" si="6" ref="J116:J122">N116+Z116+AD116+AH116+AL116+AP116+AT116+AX116+BB116+BF116+BJ116</f>
        <v>1.2380000000000002</v>
      </c>
      <c r="K116" s="20" t="s">
        <v>81</v>
      </c>
      <c r="L116" s="3" t="s">
        <v>349</v>
      </c>
      <c r="M116" s="11" t="s">
        <v>28</v>
      </c>
      <c r="N116" s="206">
        <f>0.05+0.03</f>
        <v>0.08</v>
      </c>
      <c r="O116" s="21"/>
      <c r="P116" s="252"/>
      <c r="Q116" s="252"/>
      <c r="R116" s="252"/>
      <c r="S116" s="252"/>
      <c r="T116" s="252"/>
      <c r="U116" s="252"/>
      <c r="V116" s="252"/>
      <c r="W116" s="20" t="s">
        <v>81</v>
      </c>
      <c r="X116" s="3" t="s">
        <v>349</v>
      </c>
      <c r="Y116" s="11" t="s">
        <v>28</v>
      </c>
      <c r="Z116" s="206">
        <f>0.1+0.08</f>
        <v>0.18</v>
      </c>
      <c r="AA116" s="20" t="s">
        <v>81</v>
      </c>
      <c r="AB116" s="3" t="s">
        <v>349</v>
      </c>
      <c r="AC116" s="11" t="s">
        <v>28</v>
      </c>
      <c r="AD116" s="206">
        <v>0.08</v>
      </c>
      <c r="AE116" s="20" t="s">
        <v>81</v>
      </c>
      <c r="AF116" s="3" t="s">
        <v>349</v>
      </c>
      <c r="AG116" s="11" t="s">
        <v>28</v>
      </c>
      <c r="AH116" s="206">
        <f>0.18+0.042</f>
        <v>0.222</v>
      </c>
      <c r="AI116" s="20" t="s">
        <v>81</v>
      </c>
      <c r="AJ116" s="3" t="s">
        <v>349</v>
      </c>
      <c r="AK116" s="11" t="s">
        <v>28</v>
      </c>
      <c r="AL116" s="206">
        <v>0.05</v>
      </c>
      <c r="AM116" s="20" t="s">
        <v>81</v>
      </c>
      <c r="AN116" s="3" t="s">
        <v>349</v>
      </c>
      <c r="AO116" s="11" t="s">
        <v>28</v>
      </c>
      <c r="AP116" s="206">
        <v>0.09</v>
      </c>
      <c r="AQ116" s="20" t="s">
        <v>81</v>
      </c>
      <c r="AR116" s="3" t="s">
        <v>349</v>
      </c>
      <c r="AS116" s="11" t="s">
        <v>28</v>
      </c>
      <c r="AT116" s="206">
        <v>0.09</v>
      </c>
      <c r="AU116" s="20" t="s">
        <v>81</v>
      </c>
      <c r="AV116" s="3" t="s">
        <v>349</v>
      </c>
      <c r="AW116" s="11" t="s">
        <v>28</v>
      </c>
      <c r="AX116" s="206">
        <v>0.09</v>
      </c>
      <c r="AY116" s="20" t="s">
        <v>81</v>
      </c>
      <c r="AZ116" s="3" t="s">
        <v>349</v>
      </c>
      <c r="BA116" s="11" t="s">
        <v>28</v>
      </c>
      <c r="BB116" s="206">
        <v>0.196</v>
      </c>
      <c r="BC116" s="20" t="s">
        <v>81</v>
      </c>
      <c r="BD116" s="3" t="s">
        <v>349</v>
      </c>
      <c r="BE116" s="11" t="s">
        <v>28</v>
      </c>
      <c r="BF116" s="206">
        <v>0.08</v>
      </c>
      <c r="BG116" s="20" t="s">
        <v>81</v>
      </c>
      <c r="BH116" s="3" t="s">
        <v>349</v>
      </c>
      <c r="BI116" s="11" t="s">
        <v>28</v>
      </c>
      <c r="BJ116" s="206">
        <v>0.08</v>
      </c>
      <c r="BK116" s="251" t="e">
        <f>#REF!/BJ116</f>
        <v>#REF!</v>
      </c>
    </row>
    <row r="117" spans="1:63" ht="15">
      <c r="A117" s="78"/>
      <c r="B117" s="98" t="s">
        <v>358</v>
      </c>
      <c r="C117" s="98" t="s">
        <v>28</v>
      </c>
      <c r="D117" s="503">
        <f>(1462+2430)/2</f>
        <v>1946</v>
      </c>
      <c r="E117" s="503">
        <f>(1462+2430)/2</f>
        <v>1946</v>
      </c>
      <c r="F117" s="352"/>
      <c r="G117" s="20" t="s">
        <v>82</v>
      </c>
      <c r="H117" s="74" t="s">
        <v>350</v>
      </c>
      <c r="I117" s="11" t="s">
        <v>28</v>
      </c>
      <c r="J117" s="386">
        <f t="shared" si="6"/>
        <v>0.36</v>
      </c>
      <c r="K117" s="20" t="s">
        <v>82</v>
      </c>
      <c r="L117" s="3" t="s">
        <v>350</v>
      </c>
      <c r="M117" s="11" t="s">
        <v>28</v>
      </c>
      <c r="N117" s="206">
        <v>0.02</v>
      </c>
      <c r="O117" s="21"/>
      <c r="P117" s="252"/>
      <c r="Q117" s="252"/>
      <c r="R117" s="252"/>
      <c r="S117" s="252"/>
      <c r="T117" s="252"/>
      <c r="U117" s="252"/>
      <c r="V117" s="252"/>
      <c r="W117" s="20" t="s">
        <v>82</v>
      </c>
      <c r="X117" s="3" t="s">
        <v>350</v>
      </c>
      <c r="Y117" s="11" t="s">
        <v>28</v>
      </c>
      <c r="Z117" s="206"/>
      <c r="AA117" s="20" t="s">
        <v>82</v>
      </c>
      <c r="AB117" s="3" t="s">
        <v>350</v>
      </c>
      <c r="AC117" s="11" t="s">
        <v>28</v>
      </c>
      <c r="AD117" s="206">
        <v>0.03</v>
      </c>
      <c r="AE117" s="20" t="s">
        <v>82</v>
      </c>
      <c r="AF117" s="3" t="s">
        <v>350</v>
      </c>
      <c r="AG117" s="11" t="s">
        <v>28</v>
      </c>
      <c r="AH117" s="158"/>
      <c r="AI117" s="20" t="s">
        <v>82</v>
      </c>
      <c r="AJ117" s="3" t="s">
        <v>350</v>
      </c>
      <c r="AK117" s="11" t="s">
        <v>28</v>
      </c>
      <c r="AL117" s="206">
        <v>0.05</v>
      </c>
      <c r="AM117" s="20" t="s">
        <v>82</v>
      </c>
      <c r="AN117" s="3" t="s">
        <v>350</v>
      </c>
      <c r="AO117" s="11" t="s">
        <v>28</v>
      </c>
      <c r="AP117" s="158"/>
      <c r="AQ117" s="20" t="s">
        <v>82</v>
      </c>
      <c r="AR117" s="3" t="s">
        <v>350</v>
      </c>
      <c r="AS117" s="11" t="s">
        <v>28</v>
      </c>
      <c r="AT117" s="158"/>
      <c r="AU117" s="20" t="s">
        <v>82</v>
      </c>
      <c r="AV117" s="3" t="s">
        <v>350</v>
      </c>
      <c r="AW117" s="11" t="s">
        <v>28</v>
      </c>
      <c r="AX117" s="206">
        <v>0.04</v>
      </c>
      <c r="AY117" s="20" t="s">
        <v>82</v>
      </c>
      <c r="AZ117" s="3" t="s">
        <v>350</v>
      </c>
      <c r="BA117" s="11" t="s">
        <v>28</v>
      </c>
      <c r="BB117" s="206">
        <v>0.08</v>
      </c>
      <c r="BC117" s="20" t="s">
        <v>82</v>
      </c>
      <c r="BD117" s="3" t="s">
        <v>350</v>
      </c>
      <c r="BE117" s="11" t="s">
        <v>28</v>
      </c>
      <c r="BF117" s="206">
        <v>0.04</v>
      </c>
      <c r="BG117" s="20" t="s">
        <v>82</v>
      </c>
      <c r="BH117" s="3" t="s">
        <v>350</v>
      </c>
      <c r="BI117" s="11" t="s">
        <v>28</v>
      </c>
      <c r="BJ117" s="206">
        <v>0.1</v>
      </c>
      <c r="BK117" s="251" t="e">
        <f>#REF!/BJ117</f>
        <v>#REF!</v>
      </c>
    </row>
    <row r="118" spans="1:62" ht="12.75" customHeight="1" hidden="1">
      <c r="A118" s="78"/>
      <c r="B118" s="98" t="s">
        <v>72</v>
      </c>
      <c r="C118" s="98" t="s">
        <v>20</v>
      </c>
      <c r="D118" s="99">
        <v>0</v>
      </c>
      <c r="E118" s="99">
        <v>0</v>
      </c>
      <c r="F118" s="352"/>
      <c r="G118" s="20" t="s">
        <v>83</v>
      </c>
      <c r="H118" s="74" t="s">
        <v>72</v>
      </c>
      <c r="I118" s="11" t="s">
        <v>20</v>
      </c>
      <c r="J118" s="534">
        <f t="shared" si="6"/>
        <v>0</v>
      </c>
      <c r="K118" s="20" t="s">
        <v>83</v>
      </c>
      <c r="L118" s="3" t="s">
        <v>72</v>
      </c>
      <c r="M118" s="11" t="s">
        <v>20</v>
      </c>
      <c r="N118" s="158"/>
      <c r="O118" s="21" t="e">
        <f>O115-P115</f>
        <v>#REF!</v>
      </c>
      <c r="P118" s="252"/>
      <c r="Q118" s="252"/>
      <c r="R118" s="252"/>
      <c r="S118" s="252"/>
      <c r="T118" s="252"/>
      <c r="U118" s="252"/>
      <c r="V118" s="252"/>
      <c r="W118" s="20" t="s">
        <v>83</v>
      </c>
      <c r="X118" s="3" t="s">
        <v>72</v>
      </c>
      <c r="Y118" s="11" t="s">
        <v>20</v>
      </c>
      <c r="Z118" s="158"/>
      <c r="AA118" s="20" t="s">
        <v>83</v>
      </c>
      <c r="AB118" s="3" t="s">
        <v>72</v>
      </c>
      <c r="AC118" s="11" t="s">
        <v>20</v>
      </c>
      <c r="AD118" s="158"/>
      <c r="AE118" s="20" t="s">
        <v>83</v>
      </c>
      <c r="AF118" s="3" t="s">
        <v>72</v>
      </c>
      <c r="AG118" s="11" t="s">
        <v>20</v>
      </c>
      <c r="AH118" s="158"/>
      <c r="AI118" s="20" t="s">
        <v>83</v>
      </c>
      <c r="AJ118" s="3" t="s">
        <v>72</v>
      </c>
      <c r="AK118" s="11" t="s">
        <v>20</v>
      </c>
      <c r="AL118" s="158"/>
      <c r="AM118" s="20" t="s">
        <v>83</v>
      </c>
      <c r="AN118" s="3" t="s">
        <v>72</v>
      </c>
      <c r="AO118" s="11" t="s">
        <v>20</v>
      </c>
      <c r="AP118" s="158"/>
      <c r="AQ118" s="20" t="s">
        <v>83</v>
      </c>
      <c r="AR118" s="3" t="s">
        <v>72</v>
      </c>
      <c r="AS118" s="11" t="s">
        <v>20</v>
      </c>
      <c r="AT118" s="158"/>
      <c r="AU118" s="20" t="s">
        <v>83</v>
      </c>
      <c r="AV118" s="3" t="s">
        <v>72</v>
      </c>
      <c r="AW118" s="11" t="s">
        <v>20</v>
      </c>
      <c r="AX118" s="158"/>
      <c r="AY118" s="20" t="s">
        <v>83</v>
      </c>
      <c r="AZ118" s="3" t="s">
        <v>72</v>
      </c>
      <c r="BA118" s="11" t="s">
        <v>20</v>
      </c>
      <c r="BB118" s="158"/>
      <c r="BC118" s="20" t="s">
        <v>83</v>
      </c>
      <c r="BD118" s="3" t="s">
        <v>72</v>
      </c>
      <c r="BE118" s="11" t="s">
        <v>20</v>
      </c>
      <c r="BF118" s="158"/>
      <c r="BG118" s="20" t="s">
        <v>83</v>
      </c>
      <c r="BH118" s="3" t="s">
        <v>72</v>
      </c>
      <c r="BI118" s="11" t="s">
        <v>20</v>
      </c>
      <c r="BJ118" s="158"/>
    </row>
    <row r="119" spans="1:62" ht="15.75" hidden="1">
      <c r="A119" s="516"/>
      <c r="B119" s="336" t="s">
        <v>255</v>
      </c>
      <c r="C119" s="513" t="s">
        <v>10</v>
      </c>
      <c r="D119" s="512">
        <v>13.523906000000002</v>
      </c>
      <c r="E119" s="512">
        <v>13.523906000000002</v>
      </c>
      <c r="F119" s="352"/>
      <c r="G119" s="20" t="s">
        <v>84</v>
      </c>
      <c r="H119" s="331" t="s">
        <v>249</v>
      </c>
      <c r="I119" s="11" t="s">
        <v>10</v>
      </c>
      <c r="J119" s="534">
        <f t="shared" si="6"/>
        <v>0</v>
      </c>
      <c r="K119" s="20" t="s">
        <v>84</v>
      </c>
      <c r="L119" s="3" t="s">
        <v>249</v>
      </c>
      <c r="M119" s="11" t="s">
        <v>10</v>
      </c>
      <c r="N119" s="158"/>
      <c r="O119" s="21" t="e">
        <f t="shared" si="4"/>
        <v>#REF!</v>
      </c>
      <c r="P119" s="252"/>
      <c r="Q119" s="252"/>
      <c r="R119" s="252"/>
      <c r="S119" s="252"/>
      <c r="T119" s="252"/>
      <c r="U119" s="252"/>
      <c r="V119" s="252"/>
      <c r="W119" s="20" t="s">
        <v>84</v>
      </c>
      <c r="X119" s="3" t="s">
        <v>249</v>
      </c>
      <c r="Y119" s="11" t="s">
        <v>10</v>
      </c>
      <c r="Z119" s="158"/>
      <c r="AA119" s="20" t="s">
        <v>84</v>
      </c>
      <c r="AB119" s="3" t="s">
        <v>249</v>
      </c>
      <c r="AC119" s="11" t="s">
        <v>10</v>
      </c>
      <c r="AD119" s="158"/>
      <c r="AE119" s="20" t="s">
        <v>84</v>
      </c>
      <c r="AF119" s="3" t="s">
        <v>249</v>
      </c>
      <c r="AG119" s="11" t="s">
        <v>10</v>
      </c>
      <c r="AH119" s="158"/>
      <c r="AI119" s="20" t="s">
        <v>84</v>
      </c>
      <c r="AJ119" s="3" t="s">
        <v>249</v>
      </c>
      <c r="AK119" s="11" t="s">
        <v>10</v>
      </c>
      <c r="AL119" s="158"/>
      <c r="AM119" s="20" t="s">
        <v>84</v>
      </c>
      <c r="AN119" s="3" t="s">
        <v>249</v>
      </c>
      <c r="AO119" s="11" t="s">
        <v>10</v>
      </c>
      <c r="AP119" s="158"/>
      <c r="AQ119" s="20" t="s">
        <v>84</v>
      </c>
      <c r="AR119" s="3" t="s">
        <v>249</v>
      </c>
      <c r="AS119" s="11" t="s">
        <v>10</v>
      </c>
      <c r="AT119" s="158"/>
      <c r="AU119" s="20" t="s">
        <v>84</v>
      </c>
      <c r="AV119" s="3" t="s">
        <v>249</v>
      </c>
      <c r="AW119" s="11" t="s">
        <v>10</v>
      </c>
      <c r="AX119" s="158"/>
      <c r="AY119" s="20" t="s">
        <v>84</v>
      </c>
      <c r="AZ119" s="3" t="s">
        <v>249</v>
      </c>
      <c r="BA119" s="11" t="s">
        <v>10</v>
      </c>
      <c r="BB119" s="158"/>
      <c r="BC119" s="20" t="s">
        <v>84</v>
      </c>
      <c r="BD119" s="3" t="s">
        <v>249</v>
      </c>
      <c r="BE119" s="11" t="s">
        <v>10</v>
      </c>
      <c r="BF119" s="158"/>
      <c r="BG119" s="20" t="s">
        <v>84</v>
      </c>
      <c r="BH119" s="3" t="s">
        <v>249</v>
      </c>
      <c r="BI119" s="11" t="s">
        <v>10</v>
      </c>
      <c r="BJ119" s="158"/>
    </row>
    <row r="120" spans="1:62" ht="15">
      <c r="A120" s="78"/>
      <c r="B120" s="98" t="s">
        <v>33</v>
      </c>
      <c r="C120" s="98" t="s">
        <v>23</v>
      </c>
      <c r="D120" s="510">
        <v>1.453</v>
      </c>
      <c r="E120" s="510">
        <v>2.268</v>
      </c>
      <c r="F120" s="352"/>
      <c r="G120" s="20" t="s">
        <v>85</v>
      </c>
      <c r="H120" s="74" t="s">
        <v>33</v>
      </c>
      <c r="I120" s="11" t="s">
        <v>11</v>
      </c>
      <c r="J120" s="534">
        <f t="shared" si="6"/>
        <v>11</v>
      </c>
      <c r="K120" s="20" t="s">
        <v>85</v>
      </c>
      <c r="L120" s="3" t="s">
        <v>33</v>
      </c>
      <c r="M120" s="11" t="s">
        <v>11</v>
      </c>
      <c r="N120" s="158">
        <v>1</v>
      </c>
      <c r="O120" s="21" t="e">
        <f t="shared" si="4"/>
        <v>#REF!</v>
      </c>
      <c r="P120" s="252"/>
      <c r="Q120" s="252"/>
      <c r="R120" s="252"/>
      <c r="S120" s="252"/>
      <c r="T120" s="252"/>
      <c r="U120" s="252"/>
      <c r="V120" s="252"/>
      <c r="W120" s="20" t="s">
        <v>85</v>
      </c>
      <c r="X120" s="3" t="s">
        <v>33</v>
      </c>
      <c r="Y120" s="11" t="s">
        <v>11</v>
      </c>
      <c r="Z120" s="158">
        <v>1</v>
      </c>
      <c r="AA120" s="20" t="s">
        <v>85</v>
      </c>
      <c r="AB120" s="3" t="s">
        <v>33</v>
      </c>
      <c r="AC120" s="11" t="s">
        <v>11</v>
      </c>
      <c r="AD120" s="158">
        <v>1</v>
      </c>
      <c r="AE120" s="20" t="s">
        <v>85</v>
      </c>
      <c r="AF120" s="3" t="s">
        <v>33</v>
      </c>
      <c r="AG120" s="11" t="s">
        <v>11</v>
      </c>
      <c r="AH120" s="158">
        <v>1</v>
      </c>
      <c r="AI120" s="20" t="s">
        <v>85</v>
      </c>
      <c r="AJ120" s="3" t="s">
        <v>33</v>
      </c>
      <c r="AK120" s="11" t="s">
        <v>11</v>
      </c>
      <c r="AL120" s="158">
        <v>1</v>
      </c>
      <c r="AM120" s="20" t="s">
        <v>85</v>
      </c>
      <c r="AN120" s="3" t="s">
        <v>33</v>
      </c>
      <c r="AO120" s="11" t="s">
        <v>11</v>
      </c>
      <c r="AP120" s="158">
        <v>1</v>
      </c>
      <c r="AQ120" s="20" t="s">
        <v>85</v>
      </c>
      <c r="AR120" s="3" t="s">
        <v>33</v>
      </c>
      <c r="AS120" s="11" t="s">
        <v>11</v>
      </c>
      <c r="AT120" s="158">
        <v>1</v>
      </c>
      <c r="AU120" s="20" t="s">
        <v>85</v>
      </c>
      <c r="AV120" s="3" t="s">
        <v>33</v>
      </c>
      <c r="AW120" s="11" t="s">
        <v>11</v>
      </c>
      <c r="AX120" s="158">
        <v>1</v>
      </c>
      <c r="AY120" s="20" t="s">
        <v>85</v>
      </c>
      <c r="AZ120" s="3" t="s">
        <v>33</v>
      </c>
      <c r="BA120" s="11" t="s">
        <v>11</v>
      </c>
      <c r="BB120" s="158">
        <v>1</v>
      </c>
      <c r="BC120" s="20" t="s">
        <v>85</v>
      </c>
      <c r="BD120" s="3" t="s">
        <v>33</v>
      </c>
      <c r="BE120" s="11" t="s">
        <v>11</v>
      </c>
      <c r="BF120" s="158">
        <v>1</v>
      </c>
      <c r="BG120" s="20" t="s">
        <v>85</v>
      </c>
      <c r="BH120" s="3" t="s">
        <v>33</v>
      </c>
      <c r="BI120" s="11" t="s">
        <v>11</v>
      </c>
      <c r="BJ120" s="158">
        <v>1</v>
      </c>
    </row>
    <row r="121" spans="1:62" ht="15">
      <c r="A121" s="78"/>
      <c r="B121" s="98" t="s">
        <v>34</v>
      </c>
      <c r="C121" s="98" t="s">
        <v>23</v>
      </c>
      <c r="D121" s="510">
        <v>1.759</v>
      </c>
      <c r="E121" s="510">
        <v>1.84</v>
      </c>
      <c r="F121" s="352"/>
      <c r="G121" s="20" t="s">
        <v>86</v>
      </c>
      <c r="H121" s="74" t="s">
        <v>34</v>
      </c>
      <c r="I121" s="11" t="s">
        <v>11</v>
      </c>
      <c r="J121" s="534">
        <f t="shared" si="6"/>
        <v>11</v>
      </c>
      <c r="K121" s="20" t="s">
        <v>86</v>
      </c>
      <c r="L121" s="3" t="s">
        <v>34</v>
      </c>
      <c r="M121" s="11" t="s">
        <v>11</v>
      </c>
      <c r="N121" s="158">
        <v>1</v>
      </c>
      <c r="O121" s="21" t="e">
        <f t="shared" si="4"/>
        <v>#REF!</v>
      </c>
      <c r="P121" s="252"/>
      <c r="Q121" s="252"/>
      <c r="R121" s="252"/>
      <c r="S121" s="252"/>
      <c r="T121" s="252"/>
      <c r="U121" s="252"/>
      <c r="V121" s="252"/>
      <c r="W121" s="20" t="s">
        <v>86</v>
      </c>
      <c r="X121" s="3" t="s">
        <v>34</v>
      </c>
      <c r="Y121" s="11" t="s">
        <v>11</v>
      </c>
      <c r="Z121" s="158">
        <v>1</v>
      </c>
      <c r="AA121" s="20" t="s">
        <v>86</v>
      </c>
      <c r="AB121" s="3" t="s">
        <v>34</v>
      </c>
      <c r="AC121" s="11" t="s">
        <v>11</v>
      </c>
      <c r="AD121" s="158">
        <v>1</v>
      </c>
      <c r="AE121" s="20" t="s">
        <v>86</v>
      </c>
      <c r="AF121" s="3" t="s">
        <v>34</v>
      </c>
      <c r="AG121" s="11" t="s">
        <v>11</v>
      </c>
      <c r="AH121" s="158">
        <v>1</v>
      </c>
      <c r="AI121" s="20" t="s">
        <v>86</v>
      </c>
      <c r="AJ121" s="3" t="s">
        <v>34</v>
      </c>
      <c r="AK121" s="11" t="s">
        <v>11</v>
      </c>
      <c r="AL121" s="158">
        <v>1</v>
      </c>
      <c r="AM121" s="20" t="s">
        <v>86</v>
      </c>
      <c r="AN121" s="3" t="s">
        <v>34</v>
      </c>
      <c r="AO121" s="11" t="s">
        <v>11</v>
      </c>
      <c r="AP121" s="158">
        <v>1</v>
      </c>
      <c r="AQ121" s="20" t="s">
        <v>86</v>
      </c>
      <c r="AR121" s="3" t="s">
        <v>34</v>
      </c>
      <c r="AS121" s="11" t="s">
        <v>11</v>
      </c>
      <c r="AT121" s="158">
        <v>1</v>
      </c>
      <c r="AU121" s="20" t="s">
        <v>86</v>
      </c>
      <c r="AV121" s="3" t="s">
        <v>34</v>
      </c>
      <c r="AW121" s="11" t="s">
        <v>11</v>
      </c>
      <c r="AX121" s="158">
        <v>1</v>
      </c>
      <c r="AY121" s="20" t="s">
        <v>86</v>
      </c>
      <c r="AZ121" s="3" t="s">
        <v>34</v>
      </c>
      <c r="BA121" s="11" t="s">
        <v>11</v>
      </c>
      <c r="BB121" s="158">
        <v>1</v>
      </c>
      <c r="BC121" s="20" t="s">
        <v>86</v>
      </c>
      <c r="BD121" s="3" t="s">
        <v>34</v>
      </c>
      <c r="BE121" s="11" t="s">
        <v>11</v>
      </c>
      <c r="BF121" s="158">
        <v>1</v>
      </c>
      <c r="BG121" s="20" t="s">
        <v>86</v>
      </c>
      <c r="BH121" s="3" t="s">
        <v>34</v>
      </c>
      <c r="BI121" s="11" t="s">
        <v>11</v>
      </c>
      <c r="BJ121" s="158">
        <v>1</v>
      </c>
    </row>
    <row r="122" spans="1:62" ht="15">
      <c r="A122" s="516"/>
      <c r="B122" s="513" t="s">
        <v>58</v>
      </c>
      <c r="C122" s="513" t="s">
        <v>20</v>
      </c>
      <c r="D122" s="510">
        <v>38.347</v>
      </c>
      <c r="E122" s="510">
        <v>38.347</v>
      </c>
      <c r="F122" s="352"/>
      <c r="G122" s="20" t="s">
        <v>87</v>
      </c>
      <c r="H122" s="74" t="s">
        <v>58</v>
      </c>
      <c r="I122" s="11" t="s">
        <v>20</v>
      </c>
      <c r="J122" s="168">
        <f t="shared" si="6"/>
        <v>3</v>
      </c>
      <c r="K122" s="20" t="s">
        <v>87</v>
      </c>
      <c r="L122" s="3" t="s">
        <v>58</v>
      </c>
      <c r="M122" s="11" t="s">
        <v>20</v>
      </c>
      <c r="N122" s="158"/>
      <c r="O122" s="21" t="e">
        <f t="shared" si="4"/>
        <v>#REF!</v>
      </c>
      <c r="P122" s="252"/>
      <c r="Q122" s="252"/>
      <c r="R122" s="252"/>
      <c r="S122" s="252"/>
      <c r="T122" s="252"/>
      <c r="U122" s="252"/>
      <c r="V122" s="252"/>
      <c r="W122" s="20" t="s">
        <v>87</v>
      </c>
      <c r="X122" s="3" t="s">
        <v>58</v>
      </c>
      <c r="Y122" s="11" t="s">
        <v>20</v>
      </c>
      <c r="Z122" s="158">
        <v>1</v>
      </c>
      <c r="AA122" s="20" t="s">
        <v>87</v>
      </c>
      <c r="AB122" s="3" t="s">
        <v>58</v>
      </c>
      <c r="AC122" s="11" t="s">
        <v>20</v>
      </c>
      <c r="AD122" s="158"/>
      <c r="AE122" s="20" t="s">
        <v>87</v>
      </c>
      <c r="AF122" s="3" t="s">
        <v>58</v>
      </c>
      <c r="AG122" s="11" t="s">
        <v>20</v>
      </c>
      <c r="AH122" s="158"/>
      <c r="AI122" s="20" t="s">
        <v>87</v>
      </c>
      <c r="AJ122" s="3" t="s">
        <v>58</v>
      </c>
      <c r="AK122" s="11" t="s">
        <v>20</v>
      </c>
      <c r="AL122" s="158"/>
      <c r="AM122" s="20" t="s">
        <v>87</v>
      </c>
      <c r="AN122" s="3" t="s">
        <v>58</v>
      </c>
      <c r="AO122" s="11" t="s">
        <v>20</v>
      </c>
      <c r="AP122" s="158"/>
      <c r="AQ122" s="20" t="s">
        <v>87</v>
      </c>
      <c r="AR122" s="3" t="s">
        <v>58</v>
      </c>
      <c r="AS122" s="11" t="s">
        <v>20</v>
      </c>
      <c r="AT122" s="158"/>
      <c r="AU122" s="20" t="s">
        <v>87</v>
      </c>
      <c r="AV122" s="3" t="s">
        <v>58</v>
      </c>
      <c r="AW122" s="11" t="s">
        <v>20</v>
      </c>
      <c r="AX122" s="158"/>
      <c r="AY122" s="20" t="s">
        <v>87</v>
      </c>
      <c r="AZ122" s="3" t="s">
        <v>58</v>
      </c>
      <c r="BA122" s="11" t="s">
        <v>20</v>
      </c>
      <c r="BB122" s="249">
        <v>1</v>
      </c>
      <c r="BC122" s="20" t="s">
        <v>87</v>
      </c>
      <c r="BD122" s="3" t="s">
        <v>58</v>
      </c>
      <c r="BE122" s="11" t="s">
        <v>20</v>
      </c>
      <c r="BF122" s="158"/>
      <c r="BG122" s="20" t="s">
        <v>87</v>
      </c>
      <c r="BH122" s="3" t="s">
        <v>58</v>
      </c>
      <c r="BI122" s="11" t="s">
        <v>20</v>
      </c>
      <c r="BJ122" s="158">
        <v>1</v>
      </c>
    </row>
    <row r="123" spans="1:62" s="361" customFormat="1" ht="15" hidden="1">
      <c r="A123" s="140"/>
      <c r="B123" s="98" t="s">
        <v>384</v>
      </c>
      <c r="C123" s="113"/>
      <c r="D123" s="138"/>
      <c r="E123" s="138"/>
      <c r="F123" s="364"/>
      <c r="G123" s="574"/>
      <c r="H123" s="331"/>
      <c r="I123" s="576"/>
      <c r="J123" s="534"/>
      <c r="K123" s="574"/>
      <c r="L123" s="331" t="s">
        <v>384</v>
      </c>
      <c r="M123" s="576"/>
      <c r="N123" s="249"/>
      <c r="O123" s="21"/>
      <c r="P123" s="250"/>
      <c r="Q123" s="250"/>
      <c r="R123" s="250"/>
      <c r="S123" s="250"/>
      <c r="T123" s="250"/>
      <c r="U123" s="250"/>
      <c r="V123" s="250"/>
      <c r="W123" s="574"/>
      <c r="X123" s="331" t="s">
        <v>384</v>
      </c>
      <c r="Y123" s="576"/>
      <c r="Z123" s="249"/>
      <c r="AA123" s="574"/>
      <c r="AB123" s="331" t="s">
        <v>384</v>
      </c>
      <c r="AC123" s="576"/>
      <c r="AD123" s="249"/>
      <c r="AE123" s="574"/>
      <c r="AF123" s="331" t="s">
        <v>384</v>
      </c>
      <c r="AG123" s="576"/>
      <c r="AH123" s="249"/>
      <c r="AI123" s="574"/>
      <c r="AJ123" s="331" t="s">
        <v>384</v>
      </c>
      <c r="AK123" s="576"/>
      <c r="AL123" s="249"/>
      <c r="AM123" s="574"/>
      <c r="AN123" s="331" t="s">
        <v>384</v>
      </c>
      <c r="AO123" s="576"/>
      <c r="AP123" s="249"/>
      <c r="AQ123" s="574"/>
      <c r="AR123" s="331" t="s">
        <v>384</v>
      </c>
      <c r="AS123" s="576"/>
      <c r="AT123" s="249"/>
      <c r="AU123" s="574"/>
      <c r="AV123" s="331" t="s">
        <v>384</v>
      </c>
      <c r="AW123" s="576"/>
      <c r="AX123" s="249"/>
      <c r="AY123" s="574"/>
      <c r="AZ123" s="331" t="s">
        <v>384</v>
      </c>
      <c r="BA123" s="576"/>
      <c r="BB123" s="249"/>
      <c r="BC123" s="574"/>
      <c r="BD123" s="331" t="s">
        <v>384</v>
      </c>
      <c r="BE123" s="576"/>
      <c r="BF123" s="249"/>
      <c r="BG123" s="574"/>
      <c r="BH123" s="331" t="s">
        <v>384</v>
      </c>
      <c r="BI123" s="576"/>
      <c r="BJ123" s="249"/>
    </row>
    <row r="124" spans="1:62" ht="15">
      <c r="A124" s="78"/>
      <c r="B124" s="98" t="s">
        <v>30</v>
      </c>
      <c r="C124" s="98" t="s">
        <v>25</v>
      </c>
      <c r="D124" s="99">
        <v>0</v>
      </c>
      <c r="E124" s="99">
        <v>0</v>
      </c>
      <c r="F124" s="352"/>
      <c r="G124" s="20" t="s">
        <v>360</v>
      </c>
      <c r="H124" s="74" t="s">
        <v>30</v>
      </c>
      <c r="I124" s="11" t="s">
        <v>25</v>
      </c>
      <c r="J124" s="168"/>
      <c r="K124" s="20" t="s">
        <v>360</v>
      </c>
      <c r="L124" s="3" t="s">
        <v>30</v>
      </c>
      <c r="M124" s="11" t="s">
        <v>25</v>
      </c>
      <c r="N124" s="158"/>
      <c r="O124" s="21" t="e">
        <f>O122-P122</f>
        <v>#REF!</v>
      </c>
      <c r="P124" s="252"/>
      <c r="Q124" s="252"/>
      <c r="R124" s="252"/>
      <c r="S124" s="252"/>
      <c r="T124" s="252"/>
      <c r="U124" s="252"/>
      <c r="V124" s="252"/>
      <c r="W124" s="20" t="s">
        <v>360</v>
      </c>
      <c r="X124" s="3" t="s">
        <v>30</v>
      </c>
      <c r="Y124" s="11" t="s">
        <v>25</v>
      </c>
      <c r="Z124" s="158"/>
      <c r="AA124" s="20" t="s">
        <v>360</v>
      </c>
      <c r="AB124" s="3" t="s">
        <v>30</v>
      </c>
      <c r="AC124" s="11" t="s">
        <v>25</v>
      </c>
      <c r="AD124" s="158"/>
      <c r="AE124" s="20" t="s">
        <v>360</v>
      </c>
      <c r="AF124" s="3" t="s">
        <v>30</v>
      </c>
      <c r="AG124" s="11" t="s">
        <v>25</v>
      </c>
      <c r="AH124" s="158"/>
      <c r="AI124" s="20" t="s">
        <v>360</v>
      </c>
      <c r="AJ124" s="3" t="s">
        <v>30</v>
      </c>
      <c r="AK124" s="11" t="s">
        <v>25</v>
      </c>
      <c r="AL124" s="158"/>
      <c r="AM124" s="20" t="s">
        <v>360</v>
      </c>
      <c r="AN124" s="3" t="s">
        <v>30</v>
      </c>
      <c r="AO124" s="11" t="s">
        <v>25</v>
      </c>
      <c r="AP124" s="158"/>
      <c r="AQ124" s="20" t="s">
        <v>360</v>
      </c>
      <c r="AR124" s="3" t="s">
        <v>30</v>
      </c>
      <c r="AS124" s="11" t="s">
        <v>25</v>
      </c>
      <c r="AT124" s="158"/>
      <c r="AU124" s="20" t="s">
        <v>360</v>
      </c>
      <c r="AV124" s="3" t="s">
        <v>30</v>
      </c>
      <c r="AW124" s="11" t="s">
        <v>25</v>
      </c>
      <c r="AX124" s="158"/>
      <c r="AY124" s="20" t="s">
        <v>360</v>
      </c>
      <c r="AZ124" s="3" t="s">
        <v>30</v>
      </c>
      <c r="BA124" s="11" t="s">
        <v>25</v>
      </c>
      <c r="BB124" s="158"/>
      <c r="BC124" s="20" t="s">
        <v>360</v>
      </c>
      <c r="BD124" s="3" t="s">
        <v>30</v>
      </c>
      <c r="BE124" s="11" t="s">
        <v>25</v>
      </c>
      <c r="BF124" s="158"/>
      <c r="BG124" s="20" t="s">
        <v>360</v>
      </c>
      <c r="BH124" s="3" t="s">
        <v>30</v>
      </c>
      <c r="BI124" s="11" t="s">
        <v>25</v>
      </c>
      <c r="BJ124" s="158"/>
    </row>
    <row r="125" spans="1:62" ht="12.75" customHeight="1" hidden="1">
      <c r="A125" s="129"/>
      <c r="B125" s="127" t="s">
        <v>31</v>
      </c>
      <c r="C125" s="127" t="s">
        <v>15</v>
      </c>
      <c r="D125" s="130">
        <v>0</v>
      </c>
      <c r="E125" s="130">
        <v>0</v>
      </c>
      <c r="F125" s="352"/>
      <c r="G125" s="20" t="s">
        <v>361</v>
      </c>
      <c r="H125" s="74" t="s">
        <v>31</v>
      </c>
      <c r="I125" s="11" t="s">
        <v>15</v>
      </c>
      <c r="J125" s="189">
        <f>N125+Z125+AD125+AH125+AL125+AP125+AT125+AX125+BB125+BF125+BJ125</f>
        <v>0</v>
      </c>
      <c r="K125" s="20" t="s">
        <v>361</v>
      </c>
      <c r="L125" s="3" t="s">
        <v>31</v>
      </c>
      <c r="M125" s="11" t="s">
        <v>15</v>
      </c>
      <c r="N125" s="158"/>
      <c r="O125" s="21" t="e">
        <f t="shared" si="4"/>
        <v>#REF!</v>
      </c>
      <c r="P125" s="252"/>
      <c r="Q125" s="252"/>
      <c r="R125" s="252"/>
      <c r="S125" s="252"/>
      <c r="T125" s="252"/>
      <c r="U125" s="252"/>
      <c r="V125" s="252"/>
      <c r="W125" s="20" t="s">
        <v>361</v>
      </c>
      <c r="X125" s="3" t="s">
        <v>31</v>
      </c>
      <c r="Y125" s="11" t="s">
        <v>15</v>
      </c>
      <c r="Z125" s="158"/>
      <c r="AA125" s="20" t="s">
        <v>361</v>
      </c>
      <c r="AB125" s="3" t="s">
        <v>31</v>
      </c>
      <c r="AC125" s="11" t="s">
        <v>15</v>
      </c>
      <c r="AD125" s="158"/>
      <c r="AE125" s="20" t="s">
        <v>361</v>
      </c>
      <c r="AF125" s="3" t="s">
        <v>31</v>
      </c>
      <c r="AG125" s="11" t="s">
        <v>15</v>
      </c>
      <c r="AH125" s="158"/>
      <c r="AI125" s="20" t="s">
        <v>361</v>
      </c>
      <c r="AJ125" s="3" t="s">
        <v>31</v>
      </c>
      <c r="AK125" s="11" t="s">
        <v>15</v>
      </c>
      <c r="AL125" s="158"/>
      <c r="AM125" s="20" t="s">
        <v>361</v>
      </c>
      <c r="AN125" s="3" t="s">
        <v>31</v>
      </c>
      <c r="AO125" s="11" t="s">
        <v>15</v>
      </c>
      <c r="AP125" s="158"/>
      <c r="AQ125" s="20" t="s">
        <v>361</v>
      </c>
      <c r="AR125" s="3" t="s">
        <v>31</v>
      </c>
      <c r="AS125" s="11" t="s">
        <v>15</v>
      </c>
      <c r="AT125" s="158"/>
      <c r="AU125" s="20" t="s">
        <v>361</v>
      </c>
      <c r="AV125" s="3" t="s">
        <v>31</v>
      </c>
      <c r="AW125" s="11" t="s">
        <v>15</v>
      </c>
      <c r="AX125" s="158"/>
      <c r="AY125" s="20" t="s">
        <v>361</v>
      </c>
      <c r="AZ125" s="3" t="s">
        <v>31</v>
      </c>
      <c r="BA125" s="11" t="s">
        <v>15</v>
      </c>
      <c r="BB125" s="158"/>
      <c r="BC125" s="20" t="s">
        <v>361</v>
      </c>
      <c r="BD125" s="3" t="s">
        <v>31</v>
      </c>
      <c r="BE125" s="11" t="s">
        <v>15</v>
      </c>
      <c r="BF125" s="158"/>
      <c r="BG125" s="20" t="s">
        <v>361</v>
      </c>
      <c r="BH125" s="3" t="s">
        <v>31</v>
      </c>
      <c r="BI125" s="11" t="s">
        <v>15</v>
      </c>
      <c r="BJ125" s="158"/>
    </row>
    <row r="126" spans="1:62" ht="15">
      <c r="A126" s="78"/>
      <c r="B126" s="98"/>
      <c r="C126" s="98"/>
      <c r="D126" s="99">
        <v>0</v>
      </c>
      <c r="E126" s="99">
        <v>0</v>
      </c>
      <c r="F126" s="352"/>
      <c r="G126" s="39"/>
      <c r="H126" s="329" t="s">
        <v>216</v>
      </c>
      <c r="I126" s="43"/>
      <c r="J126" s="160"/>
      <c r="K126" s="39"/>
      <c r="L126" s="41" t="s">
        <v>216</v>
      </c>
      <c r="M126" s="43"/>
      <c r="N126" s="160"/>
      <c r="O126" s="21" t="e">
        <f t="shared" si="4"/>
        <v>#REF!</v>
      </c>
      <c r="P126" s="252"/>
      <c r="Q126" s="252"/>
      <c r="R126" s="252"/>
      <c r="S126" s="252"/>
      <c r="T126" s="252"/>
      <c r="U126" s="252"/>
      <c r="V126" s="252"/>
      <c r="W126" s="39"/>
      <c r="X126" s="41" t="s">
        <v>216</v>
      </c>
      <c r="Y126" s="43"/>
      <c r="Z126" s="160"/>
      <c r="AA126" s="39"/>
      <c r="AB126" s="41" t="s">
        <v>216</v>
      </c>
      <c r="AC126" s="43"/>
      <c r="AD126" s="160"/>
      <c r="AE126" s="39"/>
      <c r="AF126" s="41" t="s">
        <v>216</v>
      </c>
      <c r="AG126" s="43"/>
      <c r="AH126" s="160"/>
      <c r="AI126" s="39"/>
      <c r="AJ126" s="41" t="s">
        <v>216</v>
      </c>
      <c r="AK126" s="43"/>
      <c r="AL126" s="160"/>
      <c r="AM126" s="39"/>
      <c r="AN126" s="41" t="s">
        <v>216</v>
      </c>
      <c r="AO126" s="43"/>
      <c r="AP126" s="160"/>
      <c r="AQ126" s="39"/>
      <c r="AR126" s="41" t="s">
        <v>216</v>
      </c>
      <c r="AS126" s="43"/>
      <c r="AT126" s="160"/>
      <c r="AU126" s="39"/>
      <c r="AV126" s="41" t="s">
        <v>216</v>
      </c>
      <c r="AW126" s="43"/>
      <c r="AX126" s="160"/>
      <c r="AY126" s="39"/>
      <c r="AZ126" s="41" t="s">
        <v>216</v>
      </c>
      <c r="BA126" s="43"/>
      <c r="BB126" s="160"/>
      <c r="BC126" s="39"/>
      <c r="BD126" s="41" t="s">
        <v>216</v>
      </c>
      <c r="BE126" s="43"/>
      <c r="BF126" s="160"/>
      <c r="BG126" s="39"/>
      <c r="BH126" s="41" t="s">
        <v>216</v>
      </c>
      <c r="BI126" s="43"/>
      <c r="BJ126" s="160"/>
    </row>
    <row r="127" spans="2:62" s="235" customFormat="1" ht="18.75">
      <c r="B127" s="407"/>
      <c r="C127" s="407"/>
      <c r="D127" s="438">
        <v>0</v>
      </c>
      <c r="E127" s="438">
        <v>0</v>
      </c>
      <c r="F127" s="440"/>
      <c r="G127" s="397" t="s">
        <v>411</v>
      </c>
      <c r="H127" s="437" t="s">
        <v>39</v>
      </c>
      <c r="I127" s="398"/>
      <c r="J127" s="402"/>
      <c r="K127" s="397" t="s">
        <v>411</v>
      </c>
      <c r="L127" s="372" t="s">
        <v>39</v>
      </c>
      <c r="M127" s="398"/>
      <c r="N127" s="402"/>
      <c r="O127" s="441" t="e">
        <f t="shared" si="4"/>
        <v>#REF!</v>
      </c>
      <c r="W127" s="397" t="s">
        <v>411</v>
      </c>
      <c r="X127" s="372" t="s">
        <v>39</v>
      </c>
      <c r="Y127" s="398"/>
      <c r="Z127" s="402"/>
      <c r="AA127" s="397" t="s">
        <v>411</v>
      </c>
      <c r="AB127" s="372" t="s">
        <v>39</v>
      </c>
      <c r="AC127" s="398"/>
      <c r="AD127" s="402"/>
      <c r="AE127" s="397" t="s">
        <v>411</v>
      </c>
      <c r="AF127" s="372" t="s">
        <v>39</v>
      </c>
      <c r="AG127" s="398"/>
      <c r="AH127" s="402"/>
      <c r="AI127" s="397" t="s">
        <v>411</v>
      </c>
      <c r="AJ127" s="372" t="s">
        <v>39</v>
      </c>
      <c r="AK127" s="398"/>
      <c r="AL127" s="402"/>
      <c r="AM127" s="397" t="s">
        <v>411</v>
      </c>
      <c r="AN127" s="372" t="s">
        <v>39</v>
      </c>
      <c r="AO127" s="398"/>
      <c r="AP127" s="402"/>
      <c r="AQ127" s="397" t="s">
        <v>411</v>
      </c>
      <c r="AR127" s="372" t="s">
        <v>39</v>
      </c>
      <c r="AS127" s="398"/>
      <c r="AT127" s="402"/>
      <c r="AU127" s="397" t="s">
        <v>411</v>
      </c>
      <c r="AV127" s="372" t="s">
        <v>39</v>
      </c>
      <c r="AW127" s="398"/>
      <c r="AX127" s="402"/>
      <c r="AY127" s="397" t="s">
        <v>411</v>
      </c>
      <c r="AZ127" s="372" t="s">
        <v>39</v>
      </c>
      <c r="BA127" s="398"/>
      <c r="BB127" s="402"/>
      <c r="BC127" s="397" t="s">
        <v>411</v>
      </c>
      <c r="BD127" s="372" t="s">
        <v>39</v>
      </c>
      <c r="BE127" s="398"/>
      <c r="BF127" s="402"/>
      <c r="BG127" s="397" t="s">
        <v>411</v>
      </c>
      <c r="BH127" s="372" t="s">
        <v>39</v>
      </c>
      <c r="BI127" s="398"/>
      <c r="BJ127" s="402"/>
    </row>
    <row r="128" spans="1:62" s="30" customFormat="1" ht="18.75">
      <c r="A128" s="266"/>
      <c r="B128" s="557" t="s">
        <v>41</v>
      </c>
      <c r="C128" s="557" t="s">
        <v>22</v>
      </c>
      <c r="D128" s="568"/>
      <c r="E128" s="568"/>
      <c r="F128" s="559"/>
      <c r="G128" s="448" t="s">
        <v>222</v>
      </c>
      <c r="H128" s="561" t="s">
        <v>41</v>
      </c>
      <c r="I128" s="562" t="s">
        <v>22</v>
      </c>
      <c r="J128" s="567">
        <f>J129+J130</f>
        <v>0.6388</v>
      </c>
      <c r="K128" s="448" t="s">
        <v>222</v>
      </c>
      <c r="L128" s="93" t="s">
        <v>41</v>
      </c>
      <c r="M128" s="562" t="s">
        <v>22</v>
      </c>
      <c r="N128" s="567">
        <f>N129+N130</f>
        <v>0.08</v>
      </c>
      <c r="O128" s="122" t="e">
        <f t="shared" si="4"/>
        <v>#REF!</v>
      </c>
      <c r="W128" s="448" t="s">
        <v>222</v>
      </c>
      <c r="X128" s="93" t="s">
        <v>41</v>
      </c>
      <c r="Y128" s="562" t="s">
        <v>22</v>
      </c>
      <c r="Z128" s="567">
        <f>Z129+Z130</f>
        <v>0.07999999999999999</v>
      </c>
      <c r="AA128" s="448" t="s">
        <v>222</v>
      </c>
      <c r="AB128" s="93" t="s">
        <v>41</v>
      </c>
      <c r="AC128" s="562" t="s">
        <v>22</v>
      </c>
      <c r="AD128" s="567">
        <f>AD129+AD130</f>
        <v>0.0718</v>
      </c>
      <c r="AE128" s="448" t="s">
        <v>222</v>
      </c>
      <c r="AF128" s="93" t="s">
        <v>41</v>
      </c>
      <c r="AG128" s="562" t="s">
        <v>22</v>
      </c>
      <c r="AH128" s="569">
        <f>AH129+AH130</f>
        <v>0.037</v>
      </c>
      <c r="AI128" s="448" t="s">
        <v>222</v>
      </c>
      <c r="AJ128" s="93" t="s">
        <v>41</v>
      </c>
      <c r="AK128" s="562" t="s">
        <v>22</v>
      </c>
      <c r="AL128" s="567">
        <f>AL129+AL130</f>
        <v>0.060000000000000005</v>
      </c>
      <c r="AM128" s="448" t="s">
        <v>222</v>
      </c>
      <c r="AN128" s="93" t="s">
        <v>41</v>
      </c>
      <c r="AO128" s="562" t="s">
        <v>22</v>
      </c>
      <c r="AP128" s="567">
        <f>AP129+AP130</f>
        <v>0.06</v>
      </c>
      <c r="AQ128" s="448" t="s">
        <v>222</v>
      </c>
      <c r="AR128" s="93" t="s">
        <v>41</v>
      </c>
      <c r="AS128" s="562" t="s">
        <v>22</v>
      </c>
      <c r="AT128" s="567">
        <f>AT129+AT130</f>
        <v>0.03</v>
      </c>
      <c r="AU128" s="448" t="s">
        <v>222</v>
      </c>
      <c r="AV128" s="93" t="s">
        <v>41</v>
      </c>
      <c r="AW128" s="562" t="s">
        <v>22</v>
      </c>
      <c r="AX128" s="567">
        <f>AX129+AX130</f>
        <v>0.04</v>
      </c>
      <c r="AY128" s="448" t="s">
        <v>222</v>
      </c>
      <c r="AZ128" s="93" t="s">
        <v>41</v>
      </c>
      <c r="BA128" s="562" t="s">
        <v>22</v>
      </c>
      <c r="BB128" s="567">
        <f>BB129+BB130</f>
        <v>0.04</v>
      </c>
      <c r="BC128" s="448" t="s">
        <v>222</v>
      </c>
      <c r="BD128" s="93" t="s">
        <v>41</v>
      </c>
      <c r="BE128" s="562" t="s">
        <v>22</v>
      </c>
      <c r="BF128" s="567">
        <f>BF129+BF130</f>
        <v>0.06</v>
      </c>
      <c r="BG128" s="448" t="s">
        <v>222</v>
      </c>
      <c r="BH128" s="93" t="s">
        <v>41</v>
      </c>
      <c r="BI128" s="562" t="s">
        <v>22</v>
      </c>
      <c r="BJ128" s="567">
        <f>BJ129+BJ130</f>
        <v>0.08</v>
      </c>
    </row>
    <row r="129" spans="1:62" ht="15.75">
      <c r="A129" s="78"/>
      <c r="B129" s="84" t="s">
        <v>349</v>
      </c>
      <c r="C129" s="85" t="s">
        <v>28</v>
      </c>
      <c r="D129" s="526">
        <v>543</v>
      </c>
      <c r="E129" s="526">
        <v>543</v>
      </c>
      <c r="F129" s="352"/>
      <c r="G129" s="20" t="s">
        <v>199</v>
      </c>
      <c r="H129" s="74" t="s">
        <v>349</v>
      </c>
      <c r="I129" s="11" t="s">
        <v>28</v>
      </c>
      <c r="J129" s="386">
        <f>N129+Z129+AD129+AH129+AL129+AP129+AT129+AX129+BB129+BF129+BJ129</f>
        <v>0.27999999999999997</v>
      </c>
      <c r="K129" s="20" t="s">
        <v>199</v>
      </c>
      <c r="L129" s="3" t="s">
        <v>349</v>
      </c>
      <c r="M129" s="11" t="s">
        <v>28</v>
      </c>
      <c r="N129" s="206"/>
      <c r="O129" s="21"/>
      <c r="P129" s="252"/>
      <c r="Q129" s="252"/>
      <c r="R129" s="252"/>
      <c r="S129" s="252"/>
      <c r="T129" s="252"/>
      <c r="U129" s="252"/>
      <c r="V129" s="252"/>
      <c r="W129" s="20" t="s">
        <v>199</v>
      </c>
      <c r="X129" s="3" t="s">
        <v>349</v>
      </c>
      <c r="Y129" s="11" t="s">
        <v>28</v>
      </c>
      <c r="Z129" s="206">
        <f>0.01+0.06</f>
        <v>0.06999999999999999</v>
      </c>
      <c r="AA129" s="20" t="s">
        <v>199</v>
      </c>
      <c r="AB129" s="3" t="s">
        <v>349</v>
      </c>
      <c r="AC129" s="11" t="s">
        <v>28</v>
      </c>
      <c r="AD129" s="206">
        <v>0.01</v>
      </c>
      <c r="AE129" s="20" t="s">
        <v>199</v>
      </c>
      <c r="AF129" s="3" t="s">
        <v>349</v>
      </c>
      <c r="AG129" s="11" t="s">
        <v>28</v>
      </c>
      <c r="AH129" s="158"/>
      <c r="AI129" s="20" t="s">
        <v>199</v>
      </c>
      <c r="AJ129" s="3" t="s">
        <v>349</v>
      </c>
      <c r="AK129" s="11" t="s">
        <v>28</v>
      </c>
      <c r="AL129" s="206">
        <v>0.01</v>
      </c>
      <c r="AM129" s="20" t="s">
        <v>199</v>
      </c>
      <c r="AN129" s="3" t="s">
        <v>349</v>
      </c>
      <c r="AO129" s="11" t="s">
        <v>28</v>
      </c>
      <c r="AP129" s="206">
        <v>0.06</v>
      </c>
      <c r="AQ129" s="20" t="s">
        <v>199</v>
      </c>
      <c r="AR129" s="3" t="s">
        <v>349</v>
      </c>
      <c r="AS129" s="11" t="s">
        <v>28</v>
      </c>
      <c r="AT129" s="206">
        <v>0.02</v>
      </c>
      <c r="AU129" s="20" t="s">
        <v>199</v>
      </c>
      <c r="AV129" s="3" t="s">
        <v>349</v>
      </c>
      <c r="AW129" s="11" t="s">
        <v>28</v>
      </c>
      <c r="AX129" s="206">
        <v>0.04</v>
      </c>
      <c r="AY129" s="20" t="s">
        <v>199</v>
      </c>
      <c r="AZ129" s="3" t="s">
        <v>349</v>
      </c>
      <c r="BA129" s="11" t="s">
        <v>28</v>
      </c>
      <c r="BB129" s="206">
        <v>0.04</v>
      </c>
      <c r="BC129" s="20" t="s">
        <v>199</v>
      </c>
      <c r="BD129" s="3" t="s">
        <v>349</v>
      </c>
      <c r="BE129" s="11" t="s">
        <v>28</v>
      </c>
      <c r="BF129" s="206">
        <v>0.02</v>
      </c>
      <c r="BG129" s="20" t="s">
        <v>199</v>
      </c>
      <c r="BH129" s="3" t="s">
        <v>349</v>
      </c>
      <c r="BI129" s="11" t="s">
        <v>28</v>
      </c>
      <c r="BJ129" s="206">
        <v>0.01</v>
      </c>
    </row>
    <row r="130" spans="1:63" ht="15.75">
      <c r="A130" s="78"/>
      <c r="B130" s="84" t="s">
        <v>350</v>
      </c>
      <c r="C130" s="85" t="s">
        <v>28</v>
      </c>
      <c r="D130" s="526">
        <v>1656</v>
      </c>
      <c r="E130" s="526">
        <v>1656</v>
      </c>
      <c r="F130" s="352"/>
      <c r="G130" s="20" t="s">
        <v>200</v>
      </c>
      <c r="H130" s="74" t="s">
        <v>350</v>
      </c>
      <c r="I130" s="11" t="s">
        <v>28</v>
      </c>
      <c r="J130" s="684">
        <f>N130+Z130+AD130+AH130+AL130+AP130+AT130+AX130+BB130+BF130+BJ130</f>
        <v>0.3588</v>
      </c>
      <c r="K130" s="20" t="s">
        <v>200</v>
      </c>
      <c r="L130" s="3" t="s">
        <v>350</v>
      </c>
      <c r="M130" s="11" t="s">
        <v>28</v>
      </c>
      <c r="N130" s="206">
        <v>0.08</v>
      </c>
      <c r="O130" s="21"/>
      <c r="P130" s="252"/>
      <c r="Q130" s="252"/>
      <c r="R130" s="252"/>
      <c r="S130" s="252"/>
      <c r="T130" s="252"/>
      <c r="U130" s="252"/>
      <c r="V130" s="252"/>
      <c r="W130" s="20" t="s">
        <v>200</v>
      </c>
      <c r="X130" s="3" t="s">
        <v>350</v>
      </c>
      <c r="Y130" s="11" t="s">
        <v>28</v>
      </c>
      <c r="Z130" s="206">
        <v>0.01</v>
      </c>
      <c r="AA130" s="20" t="s">
        <v>200</v>
      </c>
      <c r="AB130" s="3" t="s">
        <v>350</v>
      </c>
      <c r="AC130" s="11" t="s">
        <v>28</v>
      </c>
      <c r="AD130" s="206">
        <v>0.0618</v>
      </c>
      <c r="AE130" s="20" t="s">
        <v>200</v>
      </c>
      <c r="AF130" s="3" t="s">
        <v>350</v>
      </c>
      <c r="AG130" s="11" t="s">
        <v>28</v>
      </c>
      <c r="AH130" s="158">
        <v>0.037</v>
      </c>
      <c r="AI130" s="20" t="s">
        <v>200</v>
      </c>
      <c r="AJ130" s="3" t="s">
        <v>350</v>
      </c>
      <c r="AK130" s="11" t="s">
        <v>28</v>
      </c>
      <c r="AL130" s="206">
        <v>0.05</v>
      </c>
      <c r="AM130" s="20" t="s">
        <v>200</v>
      </c>
      <c r="AN130" s="3" t="s">
        <v>350</v>
      </c>
      <c r="AO130" s="11" t="s">
        <v>28</v>
      </c>
      <c r="AP130" s="206"/>
      <c r="AQ130" s="20" t="s">
        <v>200</v>
      </c>
      <c r="AR130" s="3" t="s">
        <v>350</v>
      </c>
      <c r="AS130" s="11" t="s">
        <v>28</v>
      </c>
      <c r="AT130" s="206">
        <v>0.01</v>
      </c>
      <c r="AU130" s="20" t="s">
        <v>200</v>
      </c>
      <c r="AV130" s="3" t="s">
        <v>350</v>
      </c>
      <c r="AW130" s="11" t="s">
        <v>28</v>
      </c>
      <c r="AX130" s="206"/>
      <c r="AY130" s="20" t="s">
        <v>200</v>
      </c>
      <c r="AZ130" s="3" t="s">
        <v>350</v>
      </c>
      <c r="BA130" s="11" t="s">
        <v>28</v>
      </c>
      <c r="BB130" s="206"/>
      <c r="BC130" s="20" t="s">
        <v>200</v>
      </c>
      <c r="BD130" s="3" t="s">
        <v>350</v>
      </c>
      <c r="BE130" s="11" t="s">
        <v>28</v>
      </c>
      <c r="BF130" s="206">
        <v>0.04</v>
      </c>
      <c r="BG130" s="20" t="s">
        <v>200</v>
      </c>
      <c r="BH130" s="3" t="s">
        <v>350</v>
      </c>
      <c r="BI130" s="11" t="s">
        <v>28</v>
      </c>
      <c r="BJ130" s="206">
        <v>0.07</v>
      </c>
      <c r="BK130" s="251" t="e">
        <f>#REF!/BJ130</f>
        <v>#REF!</v>
      </c>
    </row>
    <row r="131" spans="1:62" ht="15">
      <c r="A131" s="78"/>
      <c r="B131" s="98" t="s">
        <v>42</v>
      </c>
      <c r="C131" s="98" t="s">
        <v>215</v>
      </c>
      <c r="D131" s="510">
        <v>0.917</v>
      </c>
      <c r="E131" s="510">
        <v>0.917</v>
      </c>
      <c r="F131" s="352"/>
      <c r="G131" s="20" t="s">
        <v>201</v>
      </c>
      <c r="H131" s="74" t="s">
        <v>42</v>
      </c>
      <c r="I131" s="11" t="s">
        <v>11</v>
      </c>
      <c r="J131" s="534">
        <f>N131+Z131+AD131+AH131+AL131+AP131+AT131+AX131+BB131+BF131+BJ131</f>
        <v>11</v>
      </c>
      <c r="K131" s="20" t="s">
        <v>201</v>
      </c>
      <c r="L131" s="3" t="s">
        <v>42</v>
      </c>
      <c r="M131" s="11" t="s">
        <v>11</v>
      </c>
      <c r="N131" s="158">
        <v>1</v>
      </c>
      <c r="O131" s="21" t="e">
        <f>O128-P128</f>
        <v>#REF!</v>
      </c>
      <c r="P131" s="252"/>
      <c r="Q131" s="252"/>
      <c r="R131" s="252"/>
      <c r="S131" s="252"/>
      <c r="T131" s="252"/>
      <c r="U131" s="252"/>
      <c r="V131" s="252"/>
      <c r="W131" s="20" t="s">
        <v>201</v>
      </c>
      <c r="X131" s="3" t="s">
        <v>42</v>
      </c>
      <c r="Y131" s="11" t="s">
        <v>11</v>
      </c>
      <c r="Z131" s="158">
        <v>1</v>
      </c>
      <c r="AA131" s="20" t="s">
        <v>201</v>
      </c>
      <c r="AB131" s="3" t="s">
        <v>42</v>
      </c>
      <c r="AC131" s="11" t="s">
        <v>11</v>
      </c>
      <c r="AD131" s="158">
        <v>1</v>
      </c>
      <c r="AE131" s="20" t="s">
        <v>201</v>
      </c>
      <c r="AF131" s="3" t="s">
        <v>42</v>
      </c>
      <c r="AG131" s="11" t="s">
        <v>11</v>
      </c>
      <c r="AH131" s="158">
        <v>1</v>
      </c>
      <c r="AI131" s="20" t="s">
        <v>201</v>
      </c>
      <c r="AJ131" s="3" t="s">
        <v>42</v>
      </c>
      <c r="AK131" s="11" t="s">
        <v>11</v>
      </c>
      <c r="AL131" s="158">
        <v>1</v>
      </c>
      <c r="AM131" s="20" t="s">
        <v>201</v>
      </c>
      <c r="AN131" s="3" t="s">
        <v>42</v>
      </c>
      <c r="AO131" s="11" t="s">
        <v>11</v>
      </c>
      <c r="AP131" s="158">
        <v>1</v>
      </c>
      <c r="AQ131" s="20" t="s">
        <v>201</v>
      </c>
      <c r="AR131" s="3" t="s">
        <v>42</v>
      </c>
      <c r="AS131" s="11" t="s">
        <v>11</v>
      </c>
      <c r="AT131" s="158">
        <v>1</v>
      </c>
      <c r="AU131" s="20" t="s">
        <v>201</v>
      </c>
      <c r="AV131" s="3" t="s">
        <v>42</v>
      </c>
      <c r="AW131" s="11" t="s">
        <v>11</v>
      </c>
      <c r="AX131" s="158">
        <v>1</v>
      </c>
      <c r="AY131" s="20" t="s">
        <v>201</v>
      </c>
      <c r="AZ131" s="3" t="s">
        <v>42</v>
      </c>
      <c r="BA131" s="11" t="s">
        <v>11</v>
      </c>
      <c r="BB131" s="158">
        <v>1</v>
      </c>
      <c r="BC131" s="20" t="s">
        <v>201</v>
      </c>
      <c r="BD131" s="3" t="s">
        <v>42</v>
      </c>
      <c r="BE131" s="11" t="s">
        <v>11</v>
      </c>
      <c r="BF131" s="158">
        <v>1</v>
      </c>
      <c r="BG131" s="20" t="s">
        <v>201</v>
      </c>
      <c r="BH131" s="3" t="s">
        <v>42</v>
      </c>
      <c r="BI131" s="11" t="s">
        <v>11</v>
      </c>
      <c r="BJ131" s="158">
        <v>1</v>
      </c>
    </row>
    <row r="132" spans="1:62" ht="15">
      <c r="A132" s="78"/>
      <c r="B132" s="98" t="s">
        <v>90</v>
      </c>
      <c r="C132" s="98" t="s">
        <v>22</v>
      </c>
      <c r="D132" s="509">
        <v>465</v>
      </c>
      <c r="E132" s="509">
        <v>465</v>
      </c>
      <c r="F132" s="352"/>
      <c r="G132" s="20" t="s">
        <v>202</v>
      </c>
      <c r="H132" s="74" t="s">
        <v>90</v>
      </c>
      <c r="I132" s="11" t="s">
        <v>22</v>
      </c>
      <c r="J132" s="365">
        <f>N132+Z132+AD132+AH132+AL132+AP132+AT132+AX132+BB132+BF132+BJ132</f>
        <v>0.32600000000000007</v>
      </c>
      <c r="K132" s="20" t="s">
        <v>202</v>
      </c>
      <c r="L132" s="3" t="s">
        <v>90</v>
      </c>
      <c r="M132" s="11" t="s">
        <v>22</v>
      </c>
      <c r="N132" s="158"/>
      <c r="O132" s="21" t="e">
        <f t="shared" si="4"/>
        <v>#REF!</v>
      </c>
      <c r="P132" s="252"/>
      <c r="Q132" s="252"/>
      <c r="R132" s="252"/>
      <c r="S132" s="252"/>
      <c r="T132" s="252"/>
      <c r="U132" s="252"/>
      <c r="V132" s="252"/>
      <c r="W132" s="20" t="s">
        <v>202</v>
      </c>
      <c r="X132" s="3" t="s">
        <v>90</v>
      </c>
      <c r="Y132" s="11" t="s">
        <v>22</v>
      </c>
      <c r="Z132" s="158">
        <v>0.032</v>
      </c>
      <c r="AA132" s="20" t="s">
        <v>202</v>
      </c>
      <c r="AB132" s="3" t="s">
        <v>90</v>
      </c>
      <c r="AC132" s="11" t="s">
        <v>22</v>
      </c>
      <c r="AD132" s="158">
        <v>0.016</v>
      </c>
      <c r="AE132" s="20" t="s">
        <v>202</v>
      </c>
      <c r="AF132" s="3" t="s">
        <v>90</v>
      </c>
      <c r="AG132" s="11" t="s">
        <v>22</v>
      </c>
      <c r="AH132" s="158">
        <v>0.064</v>
      </c>
      <c r="AI132" s="20" t="s">
        <v>202</v>
      </c>
      <c r="AJ132" s="3" t="s">
        <v>90</v>
      </c>
      <c r="AK132" s="11" t="s">
        <v>22</v>
      </c>
      <c r="AL132" s="158">
        <v>0.016</v>
      </c>
      <c r="AM132" s="20" t="s">
        <v>202</v>
      </c>
      <c r="AN132" s="3" t="s">
        <v>90</v>
      </c>
      <c r="AO132" s="11" t="s">
        <v>22</v>
      </c>
      <c r="AP132" s="206">
        <v>0.03</v>
      </c>
      <c r="AQ132" s="20" t="s">
        <v>202</v>
      </c>
      <c r="AR132" s="3" t="s">
        <v>90</v>
      </c>
      <c r="AS132" s="11" t="s">
        <v>22</v>
      </c>
      <c r="AT132" s="206">
        <v>0.01</v>
      </c>
      <c r="AU132" s="20" t="s">
        <v>202</v>
      </c>
      <c r="AV132" s="3" t="s">
        <v>90</v>
      </c>
      <c r="AW132" s="11" t="s">
        <v>22</v>
      </c>
      <c r="AX132" s="206">
        <v>0.03</v>
      </c>
      <c r="AY132" s="20" t="s">
        <v>202</v>
      </c>
      <c r="AZ132" s="3" t="s">
        <v>90</v>
      </c>
      <c r="BA132" s="11" t="s">
        <v>22</v>
      </c>
      <c r="BB132" s="158">
        <v>0.064</v>
      </c>
      <c r="BC132" s="20" t="s">
        <v>202</v>
      </c>
      <c r="BD132" s="3" t="s">
        <v>90</v>
      </c>
      <c r="BE132" s="11" t="s">
        <v>22</v>
      </c>
      <c r="BF132" s="158">
        <v>0.032</v>
      </c>
      <c r="BG132" s="20" t="s">
        <v>202</v>
      </c>
      <c r="BH132" s="3" t="s">
        <v>90</v>
      </c>
      <c r="BI132" s="11" t="s">
        <v>22</v>
      </c>
      <c r="BJ132" s="158">
        <v>0.032</v>
      </c>
    </row>
    <row r="133" spans="1:62" ht="15">
      <c r="A133" s="78"/>
      <c r="B133" s="98" t="s">
        <v>43</v>
      </c>
      <c r="C133" s="98" t="s">
        <v>22</v>
      </c>
      <c r="D133" s="509">
        <v>56</v>
      </c>
      <c r="E133" s="509">
        <v>56</v>
      </c>
      <c r="F133" s="352"/>
      <c r="G133" s="20" t="s">
        <v>362</v>
      </c>
      <c r="H133" s="74" t="s">
        <v>43</v>
      </c>
      <c r="I133" s="11" t="s">
        <v>22</v>
      </c>
      <c r="J133" s="365">
        <f>N133+Z133+AD133+AH133+AL133+AP133+AT133+AX133+BB133+BF133+BJ133</f>
        <v>1.5650000000000002</v>
      </c>
      <c r="K133" s="20" t="s">
        <v>362</v>
      </c>
      <c r="L133" s="3" t="s">
        <v>43</v>
      </c>
      <c r="M133" s="11" t="s">
        <v>22</v>
      </c>
      <c r="N133" s="206">
        <v>0.12</v>
      </c>
      <c r="O133" s="21" t="e">
        <f t="shared" si="4"/>
        <v>#REF!</v>
      </c>
      <c r="P133" s="252"/>
      <c r="Q133" s="252"/>
      <c r="R133" s="252"/>
      <c r="S133" s="252"/>
      <c r="T133" s="252"/>
      <c r="U133" s="252"/>
      <c r="V133" s="252"/>
      <c r="W133" s="20" t="s">
        <v>362</v>
      </c>
      <c r="X133" s="3" t="s">
        <v>43</v>
      </c>
      <c r="Y133" s="11" t="s">
        <v>22</v>
      </c>
      <c r="Z133" s="206">
        <v>0.26</v>
      </c>
      <c r="AA133" s="20" t="s">
        <v>362</v>
      </c>
      <c r="AB133" s="3" t="s">
        <v>43</v>
      </c>
      <c r="AC133" s="11" t="s">
        <v>22</v>
      </c>
      <c r="AD133" s="206">
        <v>0.18</v>
      </c>
      <c r="AE133" s="20" t="s">
        <v>362</v>
      </c>
      <c r="AF133" s="3" t="s">
        <v>43</v>
      </c>
      <c r="AG133" s="11" t="s">
        <v>22</v>
      </c>
      <c r="AH133" s="206">
        <v>0.12</v>
      </c>
      <c r="AI133" s="20" t="s">
        <v>362</v>
      </c>
      <c r="AJ133" s="3" t="s">
        <v>43</v>
      </c>
      <c r="AK133" s="11" t="s">
        <v>22</v>
      </c>
      <c r="AL133" s="206">
        <v>0.17</v>
      </c>
      <c r="AM133" s="20" t="s">
        <v>362</v>
      </c>
      <c r="AN133" s="3" t="s">
        <v>43</v>
      </c>
      <c r="AO133" s="11" t="s">
        <v>22</v>
      </c>
      <c r="AP133" s="206">
        <v>0.06</v>
      </c>
      <c r="AQ133" s="20" t="s">
        <v>362</v>
      </c>
      <c r="AR133" s="3" t="s">
        <v>43</v>
      </c>
      <c r="AS133" s="11" t="s">
        <v>22</v>
      </c>
      <c r="AT133" s="206">
        <f>0.05+0.13</f>
        <v>0.18</v>
      </c>
      <c r="AU133" s="20" t="s">
        <v>362</v>
      </c>
      <c r="AV133" s="3" t="s">
        <v>43</v>
      </c>
      <c r="AW133" s="11" t="s">
        <v>22</v>
      </c>
      <c r="AX133" s="206">
        <v>0.06</v>
      </c>
      <c r="AY133" s="20" t="s">
        <v>362</v>
      </c>
      <c r="AZ133" s="3" t="s">
        <v>43</v>
      </c>
      <c r="BA133" s="11" t="s">
        <v>22</v>
      </c>
      <c r="BB133" s="206">
        <v>0.28</v>
      </c>
      <c r="BC133" s="20" t="s">
        <v>362</v>
      </c>
      <c r="BD133" s="3" t="s">
        <v>43</v>
      </c>
      <c r="BE133" s="11" t="s">
        <v>22</v>
      </c>
      <c r="BF133" s="206">
        <v>0.11</v>
      </c>
      <c r="BG133" s="20" t="s">
        <v>362</v>
      </c>
      <c r="BH133" s="3" t="s">
        <v>43</v>
      </c>
      <c r="BI133" s="11" t="s">
        <v>22</v>
      </c>
      <c r="BJ133" s="158">
        <v>0.025</v>
      </c>
    </row>
    <row r="134" spans="7:62" ht="12.75">
      <c r="G134" s="39"/>
      <c r="H134" s="329" t="s">
        <v>216</v>
      </c>
      <c r="I134" s="43"/>
      <c r="J134" s="160"/>
      <c r="K134" s="39"/>
      <c r="L134" s="41" t="s">
        <v>216</v>
      </c>
      <c r="M134" s="43"/>
      <c r="N134" s="160"/>
      <c r="O134" s="21" t="e">
        <f t="shared" si="4"/>
        <v>#REF!</v>
      </c>
      <c r="P134" s="252"/>
      <c r="Q134" s="252"/>
      <c r="R134" s="252"/>
      <c r="S134" s="252"/>
      <c r="T134" s="252"/>
      <c r="U134" s="252"/>
      <c r="V134" s="252"/>
      <c r="W134" s="39"/>
      <c r="X134" s="41" t="s">
        <v>216</v>
      </c>
      <c r="Y134" s="43"/>
      <c r="Z134" s="160"/>
      <c r="AA134" s="39"/>
      <c r="AB134" s="41" t="s">
        <v>216</v>
      </c>
      <c r="AC134" s="43"/>
      <c r="AD134" s="160"/>
      <c r="AE134" s="39"/>
      <c r="AF134" s="41" t="s">
        <v>216</v>
      </c>
      <c r="AG134" s="43"/>
      <c r="AH134" s="160"/>
      <c r="AI134" s="39"/>
      <c r="AJ134" s="41" t="s">
        <v>216</v>
      </c>
      <c r="AK134" s="43"/>
      <c r="AL134" s="160"/>
      <c r="AM134" s="39"/>
      <c r="AN134" s="41" t="s">
        <v>216</v>
      </c>
      <c r="AO134" s="43"/>
      <c r="AP134" s="160"/>
      <c r="AQ134" s="39"/>
      <c r="AR134" s="41" t="s">
        <v>216</v>
      </c>
      <c r="AS134" s="43"/>
      <c r="AT134" s="160"/>
      <c r="AU134" s="39"/>
      <c r="AV134" s="41" t="s">
        <v>216</v>
      </c>
      <c r="AW134" s="43"/>
      <c r="AX134" s="160"/>
      <c r="AY134" s="39"/>
      <c r="AZ134" s="41" t="s">
        <v>216</v>
      </c>
      <c r="BA134" s="43"/>
      <c r="BB134" s="160"/>
      <c r="BC134" s="39"/>
      <c r="BD134" s="41" t="s">
        <v>216</v>
      </c>
      <c r="BE134" s="43"/>
      <c r="BF134" s="160"/>
      <c r="BG134" s="39"/>
      <c r="BH134" s="41" t="s">
        <v>216</v>
      </c>
      <c r="BI134" s="43"/>
      <c r="BJ134" s="160"/>
    </row>
    <row r="135" spans="7:62" ht="12.75" hidden="1">
      <c r="G135" s="20" t="s">
        <v>203</v>
      </c>
      <c r="H135" s="74" t="s">
        <v>52</v>
      </c>
      <c r="I135" s="12" t="s">
        <v>11</v>
      </c>
      <c r="J135" s="168">
        <f>N135+Z135+AD135+AH135+AL135+AP135+AT135+AX135+BB135+BF135+BJ135</f>
        <v>11</v>
      </c>
      <c r="K135" s="20" t="s">
        <v>203</v>
      </c>
      <c r="L135" s="3" t="s">
        <v>52</v>
      </c>
      <c r="M135" s="12" t="s">
        <v>11</v>
      </c>
      <c r="N135" s="719">
        <v>1</v>
      </c>
      <c r="O135" s="21" t="e">
        <f t="shared" si="4"/>
        <v>#REF!</v>
      </c>
      <c r="P135" s="252"/>
      <c r="Q135" s="252"/>
      <c r="R135" s="252"/>
      <c r="S135" s="252"/>
      <c r="T135" s="252"/>
      <c r="U135" s="252"/>
      <c r="V135" s="252"/>
      <c r="W135" s="20" t="s">
        <v>203</v>
      </c>
      <c r="X135" s="3" t="s">
        <v>52</v>
      </c>
      <c r="Y135" s="12" t="s">
        <v>11</v>
      </c>
      <c r="Z135" s="719">
        <v>1</v>
      </c>
      <c r="AA135" s="20" t="s">
        <v>203</v>
      </c>
      <c r="AB135" s="3" t="s">
        <v>52</v>
      </c>
      <c r="AC135" s="12" t="s">
        <v>11</v>
      </c>
      <c r="AD135" s="719">
        <v>1</v>
      </c>
      <c r="AE135" s="20" t="s">
        <v>203</v>
      </c>
      <c r="AF135" s="3" t="s">
        <v>52</v>
      </c>
      <c r="AG135" s="12" t="s">
        <v>11</v>
      </c>
      <c r="AH135" s="719">
        <v>1</v>
      </c>
      <c r="AI135" s="20" t="s">
        <v>203</v>
      </c>
      <c r="AJ135" s="3" t="s">
        <v>52</v>
      </c>
      <c r="AK135" s="12" t="s">
        <v>11</v>
      </c>
      <c r="AL135" s="719">
        <v>1</v>
      </c>
      <c r="AM135" s="20" t="s">
        <v>203</v>
      </c>
      <c r="AN135" s="3" t="s">
        <v>52</v>
      </c>
      <c r="AO135" s="12" t="s">
        <v>11</v>
      </c>
      <c r="AP135" s="719">
        <v>1</v>
      </c>
      <c r="AQ135" s="20" t="s">
        <v>203</v>
      </c>
      <c r="AR135" s="3" t="s">
        <v>52</v>
      </c>
      <c r="AS135" s="12" t="s">
        <v>11</v>
      </c>
      <c r="AT135" s="719">
        <v>1</v>
      </c>
      <c r="AU135" s="20" t="s">
        <v>203</v>
      </c>
      <c r="AV135" s="3" t="s">
        <v>52</v>
      </c>
      <c r="AW135" s="12" t="s">
        <v>11</v>
      </c>
      <c r="AX135" s="719">
        <v>1</v>
      </c>
      <c r="AY135" s="20" t="s">
        <v>203</v>
      </c>
      <c r="AZ135" s="3" t="s">
        <v>52</v>
      </c>
      <c r="BA135" s="12" t="s">
        <v>11</v>
      </c>
      <c r="BB135" s="719">
        <v>1</v>
      </c>
      <c r="BC135" s="20" t="s">
        <v>203</v>
      </c>
      <c r="BD135" s="3" t="s">
        <v>52</v>
      </c>
      <c r="BE135" s="12" t="s">
        <v>11</v>
      </c>
      <c r="BF135" s="719">
        <v>1</v>
      </c>
      <c r="BG135" s="20" t="s">
        <v>203</v>
      </c>
      <c r="BH135" s="3" t="s">
        <v>52</v>
      </c>
      <c r="BI135" s="12" t="s">
        <v>11</v>
      </c>
      <c r="BJ135" s="719">
        <v>1</v>
      </c>
    </row>
    <row r="136" spans="7:62" ht="12.75" customHeight="1" hidden="1">
      <c r="G136" s="20" t="s">
        <v>204</v>
      </c>
      <c r="H136" s="74" t="s">
        <v>55</v>
      </c>
      <c r="I136" s="12" t="s">
        <v>11</v>
      </c>
      <c r="J136" s="168">
        <f>N136+Z136+AD136+AH136+AL136+AP136+AT136+AX136+BB136+BF136+BJ136</f>
        <v>0</v>
      </c>
      <c r="K136" s="20" t="s">
        <v>204</v>
      </c>
      <c r="L136" s="3" t="s">
        <v>55</v>
      </c>
      <c r="M136" s="12" t="s">
        <v>11</v>
      </c>
      <c r="N136" s="719"/>
      <c r="O136" s="21" t="e">
        <f t="shared" si="4"/>
        <v>#REF!</v>
      </c>
      <c r="P136" s="252"/>
      <c r="Q136" s="252"/>
      <c r="R136" s="252"/>
      <c r="S136" s="252"/>
      <c r="T136" s="252"/>
      <c r="U136" s="252"/>
      <c r="V136" s="252"/>
      <c r="W136" s="20" t="s">
        <v>204</v>
      </c>
      <c r="X136" s="3" t="s">
        <v>55</v>
      </c>
      <c r="Y136" s="12" t="s">
        <v>11</v>
      </c>
      <c r="Z136" s="719"/>
      <c r="AA136" s="20" t="s">
        <v>204</v>
      </c>
      <c r="AB136" s="3" t="s">
        <v>55</v>
      </c>
      <c r="AC136" s="12" t="s">
        <v>11</v>
      </c>
      <c r="AD136" s="719"/>
      <c r="AE136" s="20" t="s">
        <v>204</v>
      </c>
      <c r="AF136" s="3" t="s">
        <v>55</v>
      </c>
      <c r="AG136" s="12" t="s">
        <v>11</v>
      </c>
      <c r="AH136" s="719"/>
      <c r="AI136" s="20" t="s">
        <v>204</v>
      </c>
      <c r="AJ136" s="3" t="s">
        <v>55</v>
      </c>
      <c r="AK136" s="12" t="s">
        <v>11</v>
      </c>
      <c r="AL136" s="719"/>
      <c r="AM136" s="20" t="s">
        <v>204</v>
      </c>
      <c r="AN136" s="3" t="s">
        <v>55</v>
      </c>
      <c r="AO136" s="12" t="s">
        <v>11</v>
      </c>
      <c r="AP136" s="719"/>
      <c r="AQ136" s="20" t="s">
        <v>204</v>
      </c>
      <c r="AR136" s="3" t="s">
        <v>55</v>
      </c>
      <c r="AS136" s="12" t="s">
        <v>11</v>
      </c>
      <c r="AT136" s="719"/>
      <c r="AU136" s="20" t="s">
        <v>204</v>
      </c>
      <c r="AV136" s="3" t="s">
        <v>55</v>
      </c>
      <c r="AW136" s="12" t="s">
        <v>11</v>
      </c>
      <c r="AX136" s="719"/>
      <c r="AY136" s="20" t="s">
        <v>204</v>
      </c>
      <c r="AZ136" s="3" t="s">
        <v>55</v>
      </c>
      <c r="BA136" s="12" t="s">
        <v>11</v>
      </c>
      <c r="BB136" s="719"/>
      <c r="BC136" s="20" t="s">
        <v>204</v>
      </c>
      <c r="BD136" s="3" t="s">
        <v>55</v>
      </c>
      <c r="BE136" s="12" t="s">
        <v>11</v>
      </c>
      <c r="BF136" s="719"/>
      <c r="BG136" s="20" t="s">
        <v>204</v>
      </c>
      <c r="BH136" s="3" t="s">
        <v>55</v>
      </c>
      <c r="BI136" s="12" t="s">
        <v>11</v>
      </c>
      <c r="BJ136" s="719"/>
    </row>
    <row r="137" spans="7:62" ht="12.75" hidden="1">
      <c r="G137" s="20" t="s">
        <v>205</v>
      </c>
      <c r="H137" s="74" t="s">
        <v>57</v>
      </c>
      <c r="I137" s="12" t="s">
        <v>11</v>
      </c>
      <c r="J137" s="168">
        <f>N137+Z137+AD137+AH137+AL137+AP137+AT137+AX137+BB137+BF137+BJ137</f>
        <v>11</v>
      </c>
      <c r="K137" s="20" t="s">
        <v>205</v>
      </c>
      <c r="L137" s="3" t="s">
        <v>57</v>
      </c>
      <c r="M137" s="12" t="s">
        <v>11</v>
      </c>
      <c r="N137" s="719">
        <v>1</v>
      </c>
      <c r="O137" s="21" t="e">
        <f t="shared" si="4"/>
        <v>#REF!</v>
      </c>
      <c r="P137" s="252"/>
      <c r="Q137" s="252"/>
      <c r="R137" s="252"/>
      <c r="S137" s="252"/>
      <c r="T137" s="252"/>
      <c r="U137" s="252"/>
      <c r="V137" s="252"/>
      <c r="W137" s="20" t="s">
        <v>205</v>
      </c>
      <c r="X137" s="3" t="s">
        <v>57</v>
      </c>
      <c r="Y137" s="12" t="s">
        <v>11</v>
      </c>
      <c r="Z137" s="719">
        <v>1</v>
      </c>
      <c r="AA137" s="20" t="s">
        <v>205</v>
      </c>
      <c r="AB137" s="3" t="s">
        <v>57</v>
      </c>
      <c r="AC137" s="12" t="s">
        <v>11</v>
      </c>
      <c r="AD137" s="719">
        <v>1</v>
      </c>
      <c r="AE137" s="20" t="s">
        <v>205</v>
      </c>
      <c r="AF137" s="3" t="s">
        <v>57</v>
      </c>
      <c r="AG137" s="12" t="s">
        <v>11</v>
      </c>
      <c r="AH137" s="719">
        <v>1</v>
      </c>
      <c r="AI137" s="20" t="s">
        <v>205</v>
      </c>
      <c r="AJ137" s="3" t="s">
        <v>57</v>
      </c>
      <c r="AK137" s="12" t="s">
        <v>11</v>
      </c>
      <c r="AL137" s="719">
        <v>1</v>
      </c>
      <c r="AM137" s="20" t="s">
        <v>205</v>
      </c>
      <c r="AN137" s="3" t="s">
        <v>57</v>
      </c>
      <c r="AO137" s="12" t="s">
        <v>11</v>
      </c>
      <c r="AP137" s="719">
        <v>1</v>
      </c>
      <c r="AQ137" s="20" t="s">
        <v>205</v>
      </c>
      <c r="AR137" s="3" t="s">
        <v>57</v>
      </c>
      <c r="AS137" s="12" t="s">
        <v>11</v>
      </c>
      <c r="AT137" s="719">
        <v>1</v>
      </c>
      <c r="AU137" s="20" t="s">
        <v>205</v>
      </c>
      <c r="AV137" s="3" t="s">
        <v>57</v>
      </c>
      <c r="AW137" s="12" t="s">
        <v>11</v>
      </c>
      <c r="AX137" s="719">
        <v>1</v>
      </c>
      <c r="AY137" s="20" t="s">
        <v>205</v>
      </c>
      <c r="AZ137" s="3" t="s">
        <v>57</v>
      </c>
      <c r="BA137" s="12" t="s">
        <v>11</v>
      </c>
      <c r="BB137" s="719">
        <v>1</v>
      </c>
      <c r="BC137" s="20" t="s">
        <v>205</v>
      </c>
      <c r="BD137" s="3" t="s">
        <v>57</v>
      </c>
      <c r="BE137" s="12" t="s">
        <v>11</v>
      </c>
      <c r="BF137" s="719">
        <v>1</v>
      </c>
      <c r="BG137" s="20" t="s">
        <v>205</v>
      </c>
      <c r="BH137" s="3" t="s">
        <v>57</v>
      </c>
      <c r="BI137" s="12" t="s">
        <v>11</v>
      </c>
      <c r="BJ137" s="719">
        <v>1</v>
      </c>
    </row>
    <row r="138" spans="7:62" ht="12.75" hidden="1">
      <c r="G138" s="39"/>
      <c r="H138" s="327" t="s">
        <v>27</v>
      </c>
      <c r="I138" s="43"/>
      <c r="J138" s="160"/>
      <c r="K138" s="39"/>
      <c r="L138" s="41" t="s">
        <v>27</v>
      </c>
      <c r="M138" s="43"/>
      <c r="N138" s="160"/>
      <c r="O138" s="21" t="e">
        <f t="shared" si="4"/>
        <v>#REF!</v>
      </c>
      <c r="P138" s="252"/>
      <c r="Q138" s="252"/>
      <c r="R138" s="252"/>
      <c r="S138" s="252"/>
      <c r="T138" s="252"/>
      <c r="U138" s="252"/>
      <c r="V138" s="252"/>
      <c r="W138" s="39"/>
      <c r="X138" s="41" t="s">
        <v>27</v>
      </c>
      <c r="Y138" s="43"/>
      <c r="Z138" s="160"/>
      <c r="AA138" s="39"/>
      <c r="AB138" s="41" t="s">
        <v>27</v>
      </c>
      <c r="AC138" s="43"/>
      <c r="AD138" s="160"/>
      <c r="AE138" s="39"/>
      <c r="AF138" s="41" t="s">
        <v>27</v>
      </c>
      <c r="AG138" s="43"/>
      <c r="AH138" s="160"/>
      <c r="AI138" s="39"/>
      <c r="AJ138" s="41" t="s">
        <v>27</v>
      </c>
      <c r="AK138" s="43"/>
      <c r="AL138" s="160"/>
      <c r="AM138" s="39"/>
      <c r="AN138" s="41" t="s">
        <v>27</v>
      </c>
      <c r="AO138" s="43"/>
      <c r="AP138" s="160"/>
      <c r="AQ138" s="39"/>
      <c r="AR138" s="41" t="s">
        <v>27</v>
      </c>
      <c r="AS138" s="43"/>
      <c r="AT138" s="40"/>
      <c r="AU138" s="39"/>
      <c r="AV138" s="41" t="s">
        <v>27</v>
      </c>
      <c r="AW138" s="43"/>
      <c r="AX138" s="160"/>
      <c r="AY138" s="39"/>
      <c r="AZ138" s="41" t="s">
        <v>27</v>
      </c>
      <c r="BA138" s="43"/>
      <c r="BB138" s="160"/>
      <c r="BC138" s="39"/>
      <c r="BD138" s="41" t="s">
        <v>27</v>
      </c>
      <c r="BE138" s="43"/>
      <c r="BF138" s="160"/>
      <c r="BG138" s="39"/>
      <c r="BH138" s="41" t="s">
        <v>27</v>
      </c>
      <c r="BI138" s="43"/>
      <c r="BJ138" s="160"/>
    </row>
    <row r="139" spans="7:62" ht="36" customHeight="1">
      <c r="G139" s="15"/>
      <c r="H139" s="16" t="s">
        <v>59</v>
      </c>
      <c r="I139" s="15"/>
      <c r="J139" s="202" t="s">
        <v>77</v>
      </c>
      <c r="K139" s="15"/>
      <c r="L139" s="16" t="s">
        <v>59</v>
      </c>
      <c r="M139" s="15"/>
      <c r="N139" s="18" t="s">
        <v>77</v>
      </c>
      <c r="O139" s="21" t="e">
        <f t="shared" si="4"/>
        <v>#REF!</v>
      </c>
      <c r="P139" s="252"/>
      <c r="Q139" s="252"/>
      <c r="R139" s="252"/>
      <c r="S139" s="252"/>
      <c r="T139" s="252"/>
      <c r="U139" s="252"/>
      <c r="V139" s="252"/>
      <c r="W139" s="15"/>
      <c r="X139" s="16" t="s">
        <v>59</v>
      </c>
      <c r="Y139" s="15"/>
      <c r="Z139" s="18" t="s">
        <v>77</v>
      </c>
      <c r="AA139" s="15"/>
      <c r="AB139" s="16" t="s">
        <v>59</v>
      </c>
      <c r="AC139" s="15"/>
      <c r="AD139" s="18" t="s">
        <v>77</v>
      </c>
      <c r="AE139" s="15"/>
      <c r="AF139" s="16" t="s">
        <v>59</v>
      </c>
      <c r="AG139" s="15"/>
      <c r="AH139" s="18" t="s">
        <v>77</v>
      </c>
      <c r="AI139" s="15"/>
      <c r="AJ139" s="16" t="s">
        <v>59</v>
      </c>
      <c r="AK139" s="15"/>
      <c r="AL139" s="18" t="s">
        <v>77</v>
      </c>
      <c r="AM139" s="15"/>
      <c r="AN139" s="16" t="s">
        <v>59</v>
      </c>
      <c r="AO139" s="15"/>
      <c r="AP139" s="18" t="s">
        <v>77</v>
      </c>
      <c r="AQ139" s="15"/>
      <c r="AR139" s="16" t="s">
        <v>59</v>
      </c>
      <c r="AS139" s="15"/>
      <c r="AT139" s="18" t="s">
        <v>77</v>
      </c>
      <c r="AU139" s="15"/>
      <c r="AV139" s="16" t="s">
        <v>59</v>
      </c>
      <c r="AW139" s="15"/>
      <c r="AX139" s="18" t="s">
        <v>77</v>
      </c>
      <c r="AY139" s="15"/>
      <c r="AZ139" s="16" t="s">
        <v>59</v>
      </c>
      <c r="BA139" s="15"/>
      <c r="BB139" s="18" t="s">
        <v>77</v>
      </c>
      <c r="BC139" s="15"/>
      <c r="BD139" s="16" t="s">
        <v>59</v>
      </c>
      <c r="BE139" s="15"/>
      <c r="BF139" s="18" t="s">
        <v>77</v>
      </c>
      <c r="BG139" s="15"/>
      <c r="BH139" s="16" t="s">
        <v>59</v>
      </c>
      <c r="BI139" s="15"/>
      <c r="BJ139" s="18" t="s">
        <v>77</v>
      </c>
    </row>
    <row r="140" spans="1:63" s="722" customFormat="1" ht="12.75">
      <c r="A140" s="251"/>
      <c r="B140" s="251"/>
      <c r="C140" s="251"/>
      <c r="D140" s="251"/>
      <c r="E140" s="251"/>
      <c r="F140" s="251"/>
      <c r="G140" s="14">
        <v>1</v>
      </c>
      <c r="H140" s="14" t="s">
        <v>60</v>
      </c>
      <c r="I140" s="12" t="s">
        <v>25</v>
      </c>
      <c r="J140" s="332">
        <f>N140+Z140+AD140+AH140+AL140+AP140+AT140+AX140+BB140+BF140+BJ140</f>
        <v>6212.5104599999995</v>
      </c>
      <c r="K140" s="14">
        <v>1</v>
      </c>
      <c r="L140" s="14" t="s">
        <v>60</v>
      </c>
      <c r="M140" s="12" t="s">
        <v>25</v>
      </c>
      <c r="N140" s="225">
        <f>(2.8*N22*6*1)+(3.05*N22*6*1)</f>
        <v>491.1192</v>
      </c>
      <c r="O140" s="21" t="e">
        <f t="shared" si="4"/>
        <v>#REF!</v>
      </c>
      <c r="P140" s="252"/>
      <c r="Q140" s="252"/>
      <c r="R140" s="252"/>
      <c r="S140" s="252"/>
      <c r="T140" s="252"/>
      <c r="U140" s="252"/>
      <c r="V140" s="252"/>
      <c r="W140" s="14">
        <v>1</v>
      </c>
      <c r="X140" s="14" t="s">
        <v>60</v>
      </c>
      <c r="Y140" s="12" t="s">
        <v>25</v>
      </c>
      <c r="Z140" s="225">
        <f>(2.8*Z22*6*1)+(3.05*Z22*6*1)</f>
        <v>648.0863999999999</v>
      </c>
      <c r="AA140" s="14">
        <v>1</v>
      </c>
      <c r="AB140" s="14" t="s">
        <v>60</v>
      </c>
      <c r="AC140" s="12" t="s">
        <v>25</v>
      </c>
      <c r="AD140" s="225">
        <f>(2.8*AD22*6*1)+(3.05*AD22*6*1)</f>
        <v>412.0389</v>
      </c>
      <c r="AE140" s="14">
        <v>1</v>
      </c>
      <c r="AF140" s="14" t="s">
        <v>60</v>
      </c>
      <c r="AG140" s="12" t="s">
        <v>25</v>
      </c>
      <c r="AH140" s="225">
        <f>(2.8*AH22*6*1)+(3.05*AH22*6*1)</f>
        <v>680.0625</v>
      </c>
      <c r="AI140" s="14">
        <v>1</v>
      </c>
      <c r="AJ140" s="14" t="s">
        <v>60</v>
      </c>
      <c r="AK140" s="12" t="s">
        <v>25</v>
      </c>
      <c r="AL140" s="225">
        <f>(2.8*AL22*6*1)+(3.05*AL22*6*1)</f>
        <v>447.7356</v>
      </c>
      <c r="AM140" s="14">
        <v>1</v>
      </c>
      <c r="AN140" s="14" t="s">
        <v>60</v>
      </c>
      <c r="AO140" s="12" t="s">
        <v>25</v>
      </c>
      <c r="AP140" s="225">
        <f>(2.8*AP22*6*1)+(3.05*AP22*6*1)</f>
        <v>363.86766</v>
      </c>
      <c r="AQ140" s="14">
        <v>1</v>
      </c>
      <c r="AR140" s="14" t="s">
        <v>60</v>
      </c>
      <c r="AS140" s="12" t="s">
        <v>25</v>
      </c>
      <c r="AT140" s="225">
        <f>(2.8*AT22*6*1)+(3.05*AT22*6*1)</f>
        <v>219.83129999999997</v>
      </c>
      <c r="AU140" s="14">
        <v>1</v>
      </c>
      <c r="AV140" s="14" t="s">
        <v>60</v>
      </c>
      <c r="AW140" s="12" t="s">
        <v>25</v>
      </c>
      <c r="AX140" s="225">
        <f>(2.8*AX22*6*1)+(3.05*AX22*6*1)</f>
        <v>601.6841999999999</v>
      </c>
      <c r="AY140" s="14">
        <v>1</v>
      </c>
      <c r="AZ140" s="14" t="s">
        <v>60</v>
      </c>
      <c r="BA140" s="12" t="s">
        <v>25</v>
      </c>
      <c r="BB140" s="225">
        <f>(2.8*BB22*6*1)+(3.05*BB22*6*1)</f>
        <v>919.2689999999999</v>
      </c>
      <c r="BC140" s="14">
        <v>1</v>
      </c>
      <c r="BD140" s="14" t="s">
        <v>60</v>
      </c>
      <c r="BE140" s="12" t="s">
        <v>25</v>
      </c>
      <c r="BF140" s="225">
        <f>(2.8*BF22*6*1)+(3.05*BF22*6*1)</f>
        <v>511.7229</v>
      </c>
      <c r="BG140" s="14">
        <v>1</v>
      </c>
      <c r="BH140" s="14" t="s">
        <v>60</v>
      </c>
      <c r="BI140" s="12" t="s">
        <v>25</v>
      </c>
      <c r="BJ140" s="225">
        <f>(2.8*BJ22*6*1)+(3.05*BJ22*6*1)</f>
        <v>917.0927999999999</v>
      </c>
      <c r="BK140" s="721"/>
    </row>
    <row r="141" spans="7:69" s="722" customFormat="1" ht="12.75">
      <c r="G141" s="14"/>
      <c r="H141" s="13" t="s">
        <v>61</v>
      </c>
      <c r="I141" s="12" t="s">
        <v>25</v>
      </c>
      <c r="J141" s="585" t="e">
        <f>J140-#REF!</f>
        <v>#REF!</v>
      </c>
      <c r="K141" s="14"/>
      <c r="L141" s="13" t="s">
        <v>61</v>
      </c>
      <c r="M141" s="12" t="s">
        <v>25</v>
      </c>
      <c r="N141" s="585" t="e">
        <f>N140-#REF!</f>
        <v>#REF!</v>
      </c>
      <c r="O141" s="21" t="e">
        <f t="shared" si="4"/>
        <v>#REF!</v>
      </c>
      <c r="P141" s="252"/>
      <c r="Q141" s="252"/>
      <c r="R141" s="252"/>
      <c r="S141" s="252"/>
      <c r="T141" s="252"/>
      <c r="U141" s="252"/>
      <c r="V141" s="252"/>
      <c r="W141" s="14"/>
      <c r="X141" s="13" t="s">
        <v>61</v>
      </c>
      <c r="Y141" s="12" t="s">
        <v>25</v>
      </c>
      <c r="Z141" s="585" t="e">
        <f>Z140-#REF!</f>
        <v>#REF!</v>
      </c>
      <c r="AA141" s="14"/>
      <c r="AB141" s="13" t="s">
        <v>61</v>
      </c>
      <c r="AC141" s="12" t="s">
        <v>25</v>
      </c>
      <c r="AD141" s="585" t="e">
        <f>AD140-#REF!</f>
        <v>#REF!</v>
      </c>
      <c r="AE141" s="14"/>
      <c r="AF141" s="13" t="s">
        <v>61</v>
      </c>
      <c r="AG141" s="12" t="s">
        <v>25</v>
      </c>
      <c r="AH141" s="585" t="e">
        <f>AH140-#REF!</f>
        <v>#REF!</v>
      </c>
      <c r="AI141" s="14"/>
      <c r="AJ141" s="13" t="s">
        <v>61</v>
      </c>
      <c r="AK141" s="12" t="s">
        <v>25</v>
      </c>
      <c r="AL141" s="585" t="e">
        <f>AL140-#REF!</f>
        <v>#REF!</v>
      </c>
      <c r="AM141" s="14"/>
      <c r="AN141" s="13" t="s">
        <v>61</v>
      </c>
      <c r="AO141" s="12" t="s">
        <v>25</v>
      </c>
      <c r="AP141" s="585" t="e">
        <f>AP140-#REF!</f>
        <v>#REF!</v>
      </c>
      <c r="AQ141" s="14"/>
      <c r="AR141" s="13" t="s">
        <v>61</v>
      </c>
      <c r="AS141" s="12" t="s">
        <v>25</v>
      </c>
      <c r="AT141" s="585" t="e">
        <f>AT140-#REF!</f>
        <v>#REF!</v>
      </c>
      <c r="AU141" s="14"/>
      <c r="AV141" s="13" t="s">
        <v>61</v>
      </c>
      <c r="AW141" s="12" t="s">
        <v>25</v>
      </c>
      <c r="AX141" s="585" t="e">
        <f>AX140-#REF!</f>
        <v>#REF!</v>
      </c>
      <c r="AY141" s="14"/>
      <c r="AZ141" s="13" t="s">
        <v>61</v>
      </c>
      <c r="BA141" s="12" t="s">
        <v>25</v>
      </c>
      <c r="BB141" s="585" t="e">
        <f>BB140-#REF!</f>
        <v>#REF!</v>
      </c>
      <c r="BC141" s="14"/>
      <c r="BD141" s="13" t="s">
        <v>61</v>
      </c>
      <c r="BE141" s="12" t="s">
        <v>25</v>
      </c>
      <c r="BF141" s="585" t="e">
        <f>BF140-#REF!</f>
        <v>#REF!</v>
      </c>
      <c r="BG141" s="14"/>
      <c r="BH141" s="13" t="s">
        <v>61</v>
      </c>
      <c r="BI141" s="12" t="s">
        <v>25</v>
      </c>
      <c r="BJ141" s="585" t="e">
        <f>BJ140-#REF!</f>
        <v>#REF!</v>
      </c>
      <c r="BK141" s="721">
        <f>(176994.8*2.8*6)+(176994.8*3.05*6)</f>
        <v>6212517.479999999</v>
      </c>
      <c r="BQ141" s="723"/>
    </row>
    <row r="142" spans="7:63" s="722" customFormat="1" ht="12.75">
      <c r="G142" s="14">
        <v>2</v>
      </c>
      <c r="H142" s="14" t="s">
        <v>62</v>
      </c>
      <c r="I142" s="12" t="s">
        <v>25</v>
      </c>
      <c r="J142" s="332">
        <f>N142+Z142+AD142+AH142+AL142+AP142+AT142+AX142+BB142+BF142+BJ142</f>
        <v>4448.867219999999</v>
      </c>
      <c r="K142" s="14">
        <v>2</v>
      </c>
      <c r="L142" s="14" t="s">
        <v>62</v>
      </c>
      <c r="M142" s="12" t="s">
        <v>25</v>
      </c>
      <c r="N142" s="225">
        <f>(1.94*N22*6*1)+(2.06*N22*6*1)</f>
        <v>335.808</v>
      </c>
      <c r="O142" s="21" t="e">
        <f t="shared" si="4"/>
        <v>#REF!</v>
      </c>
      <c r="P142" s="252"/>
      <c r="Q142" s="252"/>
      <c r="R142" s="252"/>
      <c r="S142" s="252"/>
      <c r="T142" s="252"/>
      <c r="U142" s="252"/>
      <c r="V142" s="252"/>
      <c r="W142" s="14">
        <v>2</v>
      </c>
      <c r="X142" s="14" t="s">
        <v>62</v>
      </c>
      <c r="Y142" s="12" t="s">
        <v>25</v>
      </c>
      <c r="Z142" s="225">
        <f>(1.94*Z22*6*1)+(2.06*Z22*6*1)</f>
        <v>443.13599999999997</v>
      </c>
      <c r="AA142" s="14">
        <v>2</v>
      </c>
      <c r="AB142" s="14" t="s">
        <v>62</v>
      </c>
      <c r="AC142" s="12" t="s">
        <v>25</v>
      </c>
      <c r="AD142" s="225">
        <f>(2.21*AD22*6*1)+(2.36*AD22*6*1)</f>
        <v>321.88338</v>
      </c>
      <c r="AE142" s="14">
        <v>2</v>
      </c>
      <c r="AF142" s="14" t="s">
        <v>62</v>
      </c>
      <c r="AG142" s="12" t="s">
        <v>25</v>
      </c>
      <c r="AH142" s="225">
        <f>(1.94*AH22*6*1)+(2.06*AH22*6*1)</f>
        <v>465</v>
      </c>
      <c r="AI142" s="14">
        <v>2</v>
      </c>
      <c r="AJ142" s="14" t="s">
        <v>62</v>
      </c>
      <c r="AK142" s="12" t="s">
        <v>25</v>
      </c>
      <c r="AL142" s="225">
        <f>(1.94*AL22*6*1)+(2.06*AL22*6*1)</f>
        <v>306.144</v>
      </c>
      <c r="AM142" s="14">
        <v>2</v>
      </c>
      <c r="AN142" s="14" t="s">
        <v>62</v>
      </c>
      <c r="AO142" s="12" t="s">
        <v>25</v>
      </c>
      <c r="AP142" s="225">
        <f>(1.94*AP22*6*1)+(2.06*AP22*6*1)</f>
        <v>248.7984</v>
      </c>
      <c r="AQ142" s="14">
        <v>2</v>
      </c>
      <c r="AR142" s="14" t="s">
        <v>62</v>
      </c>
      <c r="AS142" s="12" t="s">
        <v>25</v>
      </c>
      <c r="AT142" s="225">
        <f>(2.21*AT22*6*1)+(2.36*AT22*6*1)</f>
        <v>171.73146</v>
      </c>
      <c r="AU142" s="14">
        <v>2</v>
      </c>
      <c r="AV142" s="14" t="s">
        <v>62</v>
      </c>
      <c r="AW142" s="12" t="s">
        <v>25</v>
      </c>
      <c r="AX142" s="225">
        <f>(1.94*AX22*6*1)+(2.06*AX22*6*1)</f>
        <v>411.40799999999996</v>
      </c>
      <c r="AY142" s="14">
        <v>2</v>
      </c>
      <c r="AZ142" s="14" t="s">
        <v>62</v>
      </c>
      <c r="BA142" s="12" t="s">
        <v>25</v>
      </c>
      <c r="BB142" s="225">
        <f>(2.21*BB22*6*1)+(2.36*BB22*6*1)</f>
        <v>718.1297999999999</v>
      </c>
      <c r="BC142" s="14">
        <v>2</v>
      </c>
      <c r="BD142" s="14" t="s">
        <v>62</v>
      </c>
      <c r="BE142" s="12" t="s">
        <v>25</v>
      </c>
      <c r="BF142" s="225">
        <f>(2.21*BF22*6*1)+(2.36*BF22*6*1)</f>
        <v>399.75618</v>
      </c>
      <c r="BG142" s="14">
        <v>2</v>
      </c>
      <c r="BH142" s="14" t="s">
        <v>62</v>
      </c>
      <c r="BI142" s="12" t="s">
        <v>25</v>
      </c>
      <c r="BJ142" s="225">
        <f>(1.94*BJ22*6*1)+(2.06*BJ22*6*1)</f>
        <v>627.072</v>
      </c>
      <c r="BK142" s="721"/>
    </row>
    <row r="143" spans="7:63" s="722" customFormat="1" ht="12.75">
      <c r="G143" s="14"/>
      <c r="H143" s="13" t="s">
        <v>61</v>
      </c>
      <c r="I143" s="12" t="s">
        <v>25</v>
      </c>
      <c r="J143" s="585" t="e">
        <f>J142-#REF!</f>
        <v>#REF!</v>
      </c>
      <c r="K143" s="14"/>
      <c r="L143" s="13" t="s">
        <v>61</v>
      </c>
      <c r="M143" s="12" t="s">
        <v>25</v>
      </c>
      <c r="N143" s="585" t="e">
        <f>N142-#REF!</f>
        <v>#REF!</v>
      </c>
      <c r="O143" s="21" t="e">
        <f t="shared" si="4"/>
        <v>#REF!</v>
      </c>
      <c r="P143" s="252"/>
      <c r="Q143" s="252"/>
      <c r="R143" s="252"/>
      <c r="S143" s="252"/>
      <c r="T143" s="252"/>
      <c r="U143" s="252"/>
      <c r="V143" s="252"/>
      <c r="W143" s="14"/>
      <c r="X143" s="13" t="s">
        <v>61</v>
      </c>
      <c r="Y143" s="12" t="s">
        <v>25</v>
      </c>
      <c r="Z143" s="585" t="e">
        <f>Z142-#REF!</f>
        <v>#REF!</v>
      </c>
      <c r="AA143" s="14"/>
      <c r="AB143" s="13" t="s">
        <v>61</v>
      </c>
      <c r="AC143" s="12" t="s">
        <v>25</v>
      </c>
      <c r="AD143" s="585" t="e">
        <f>AD142-#REF!</f>
        <v>#REF!</v>
      </c>
      <c r="AE143" s="14"/>
      <c r="AF143" s="13" t="s">
        <v>61</v>
      </c>
      <c r="AG143" s="12" t="s">
        <v>25</v>
      </c>
      <c r="AH143" s="585" t="e">
        <f>AH142-#REF!</f>
        <v>#REF!</v>
      </c>
      <c r="AI143" s="14"/>
      <c r="AJ143" s="13" t="s">
        <v>61</v>
      </c>
      <c r="AK143" s="12" t="s">
        <v>25</v>
      </c>
      <c r="AL143" s="585" t="e">
        <f>AL142-#REF!</f>
        <v>#REF!</v>
      </c>
      <c r="AM143" s="14"/>
      <c r="AN143" s="13" t="s">
        <v>61</v>
      </c>
      <c r="AO143" s="12" t="s">
        <v>25</v>
      </c>
      <c r="AP143" s="585" t="e">
        <f>AP142-#REF!</f>
        <v>#REF!</v>
      </c>
      <c r="AQ143" s="14"/>
      <c r="AR143" s="13" t="s">
        <v>61</v>
      </c>
      <c r="AS143" s="12" t="s">
        <v>25</v>
      </c>
      <c r="AT143" s="585" t="e">
        <f>AT142-#REF!</f>
        <v>#REF!</v>
      </c>
      <c r="AU143" s="14"/>
      <c r="AV143" s="13" t="s">
        <v>61</v>
      </c>
      <c r="AW143" s="12" t="s">
        <v>25</v>
      </c>
      <c r="AX143" s="585" t="e">
        <f>AX142-#REF!</f>
        <v>#REF!</v>
      </c>
      <c r="AY143" s="14"/>
      <c r="AZ143" s="13" t="s">
        <v>61</v>
      </c>
      <c r="BA143" s="12" t="s">
        <v>25</v>
      </c>
      <c r="BB143" s="585" t="e">
        <f>BB142-#REF!</f>
        <v>#REF!</v>
      </c>
      <c r="BC143" s="14"/>
      <c r="BD143" s="13" t="s">
        <v>61</v>
      </c>
      <c r="BE143" s="12" t="s">
        <v>25</v>
      </c>
      <c r="BF143" s="585" t="e">
        <f>BF142-#REF!</f>
        <v>#REF!</v>
      </c>
      <c r="BG143" s="14"/>
      <c r="BH143" s="13" t="s">
        <v>61</v>
      </c>
      <c r="BI143" s="12" t="s">
        <v>25</v>
      </c>
      <c r="BJ143" s="585" t="e">
        <f>BJ142-#REF!</f>
        <v>#REF!</v>
      </c>
      <c r="BK143" s="721">
        <f>(58772*2.21*6)+(58772*2.36*6)+(118222.8*1.94*6)+(118222.8*2.06*6)</f>
        <v>4448875.4399999995</v>
      </c>
    </row>
    <row r="144" spans="7:63" s="722" customFormat="1" ht="12.75">
      <c r="G144" s="14">
        <v>3</v>
      </c>
      <c r="H144" s="14" t="s">
        <v>63</v>
      </c>
      <c r="I144" s="12" t="s">
        <v>25</v>
      </c>
      <c r="J144" s="332">
        <f>N144+Z144+AD144+AH144+AL144+AP144+AT144+AX144+BB144+BF144+BJ144</f>
        <v>5180.486148000001</v>
      </c>
      <c r="K144" s="14">
        <v>3</v>
      </c>
      <c r="L144" s="14" t="s">
        <v>63</v>
      </c>
      <c r="M144" s="12" t="s">
        <v>25</v>
      </c>
      <c r="N144" s="225">
        <f>(2.42*N22*6*1)+(2.56*N22*6*1)</f>
        <v>418.08096</v>
      </c>
      <c r="O144" s="21" t="e">
        <f t="shared" si="4"/>
        <v>#REF!</v>
      </c>
      <c r="P144" s="252"/>
      <c r="Q144" s="252"/>
      <c r="R144" s="252"/>
      <c r="S144" s="252"/>
      <c r="T144" s="252"/>
      <c r="U144" s="252"/>
      <c r="V144" s="252"/>
      <c r="W144" s="14">
        <v>3</v>
      </c>
      <c r="X144" s="14" t="s">
        <v>63</v>
      </c>
      <c r="Y144" s="12" t="s">
        <v>25</v>
      </c>
      <c r="Z144" s="225">
        <f>(2.42*Z22*6*1)+(2.56*Z22*6*1)</f>
        <v>551.7043199999999</v>
      </c>
      <c r="AA144" s="14">
        <v>3</v>
      </c>
      <c r="AB144" s="14" t="s">
        <v>63</v>
      </c>
      <c r="AC144" s="12" t="s">
        <v>25</v>
      </c>
      <c r="AD144" s="225">
        <f>(2.42*AD22*6*1)+(2.56*AD22*6*1)</f>
        <v>350.76132000000007</v>
      </c>
      <c r="AE144" s="14">
        <v>3</v>
      </c>
      <c r="AF144" s="14" t="s">
        <v>63</v>
      </c>
      <c r="AG144" s="12" t="s">
        <v>25</v>
      </c>
      <c r="AH144" s="225">
        <f>(1.97*AH22*6*1)+(2.08*AH22*6*1)</f>
        <v>470.8125</v>
      </c>
      <c r="AI144" s="14">
        <v>3</v>
      </c>
      <c r="AJ144" s="14" t="s">
        <v>63</v>
      </c>
      <c r="AK144" s="12" t="s">
        <v>25</v>
      </c>
      <c r="AL144" s="225">
        <f>(2.42*AL22*6*1)+(2.56*AL22*6*1)</f>
        <v>381.14928000000003</v>
      </c>
      <c r="AM144" s="14">
        <v>3</v>
      </c>
      <c r="AN144" s="14" t="s">
        <v>63</v>
      </c>
      <c r="AO144" s="12" t="s">
        <v>25</v>
      </c>
      <c r="AP144" s="225">
        <f>(2.42*AP22*6*1)+(2.56*AP22*6*1)</f>
        <v>309.754008</v>
      </c>
      <c r="AQ144" s="14">
        <v>3</v>
      </c>
      <c r="AR144" s="14" t="s">
        <v>63</v>
      </c>
      <c r="AS144" s="12" t="s">
        <v>25</v>
      </c>
      <c r="AT144" s="225">
        <f>(2.42*AT22*6*1)+(2.56*AT22*6*1)</f>
        <v>187.13844</v>
      </c>
      <c r="AU144" s="14">
        <v>3</v>
      </c>
      <c r="AV144" s="14" t="s">
        <v>63</v>
      </c>
      <c r="AW144" s="12" t="s">
        <v>25</v>
      </c>
      <c r="AX144" s="225">
        <f>(2.42*AX22*6*1)+(2.56*AX22*6*1)</f>
        <v>512.20296</v>
      </c>
      <c r="AY144" s="14">
        <v>3</v>
      </c>
      <c r="AZ144" s="14" t="s">
        <v>63</v>
      </c>
      <c r="BA144" s="12" t="s">
        <v>25</v>
      </c>
      <c r="BB144" s="225">
        <f>(2.42*BB22*6*1)+(2.56*BB22*6*1)</f>
        <v>782.5572000000001</v>
      </c>
      <c r="BC144" s="14">
        <v>3</v>
      </c>
      <c r="BD144" s="14" t="s">
        <v>63</v>
      </c>
      <c r="BE144" s="12" t="s">
        <v>25</v>
      </c>
      <c r="BF144" s="225">
        <f>(2.42*BF22*6*1)+(2.56*BF22*6*1)</f>
        <v>435.62052</v>
      </c>
      <c r="BG144" s="14">
        <v>3</v>
      </c>
      <c r="BH144" s="14" t="s">
        <v>63</v>
      </c>
      <c r="BI144" s="12" t="s">
        <v>25</v>
      </c>
      <c r="BJ144" s="225">
        <f>(2.42*BJ22*6*1)+(2.56*BJ22*6*1)</f>
        <v>780.70464</v>
      </c>
      <c r="BK144" s="721"/>
    </row>
    <row r="145" spans="7:63" s="722" customFormat="1" ht="12.75">
      <c r="G145" s="14"/>
      <c r="H145" s="13" t="s">
        <v>61</v>
      </c>
      <c r="I145" s="12" t="s">
        <v>25</v>
      </c>
      <c r="J145" s="585" t="e">
        <f>J144-#REF!</f>
        <v>#REF!</v>
      </c>
      <c r="K145" s="14"/>
      <c r="L145" s="13" t="s">
        <v>61</v>
      </c>
      <c r="M145" s="12" t="s">
        <v>25</v>
      </c>
      <c r="N145" s="585" t="e">
        <f>N144-#REF!</f>
        <v>#REF!</v>
      </c>
      <c r="O145" s="21" t="e">
        <f t="shared" si="4"/>
        <v>#REF!</v>
      </c>
      <c r="P145" s="252"/>
      <c r="Q145" s="252"/>
      <c r="R145" s="252"/>
      <c r="S145" s="252"/>
      <c r="T145" s="252"/>
      <c r="U145" s="252"/>
      <c r="V145" s="252"/>
      <c r="W145" s="14"/>
      <c r="X145" s="13" t="s">
        <v>61</v>
      </c>
      <c r="Y145" s="12" t="s">
        <v>25</v>
      </c>
      <c r="Z145" s="585" t="e">
        <f>Z144-#REF!</f>
        <v>#REF!</v>
      </c>
      <c r="AA145" s="14"/>
      <c r="AB145" s="13" t="s">
        <v>61</v>
      </c>
      <c r="AC145" s="12" t="s">
        <v>25</v>
      </c>
      <c r="AD145" s="585" t="e">
        <f>AD144-#REF!</f>
        <v>#REF!</v>
      </c>
      <c r="AE145" s="14"/>
      <c r="AF145" s="13" t="s">
        <v>61</v>
      </c>
      <c r="AG145" s="12" t="s">
        <v>25</v>
      </c>
      <c r="AH145" s="585" t="e">
        <f>AH144-#REF!</f>
        <v>#REF!</v>
      </c>
      <c r="AI145" s="14"/>
      <c r="AJ145" s="13" t="s">
        <v>61</v>
      </c>
      <c r="AK145" s="12" t="s">
        <v>25</v>
      </c>
      <c r="AL145" s="585" t="e">
        <f>AL144-#REF!</f>
        <v>#REF!</v>
      </c>
      <c r="AM145" s="14"/>
      <c r="AN145" s="13" t="s">
        <v>61</v>
      </c>
      <c r="AO145" s="12" t="s">
        <v>25</v>
      </c>
      <c r="AP145" s="585" t="e">
        <f>AP144-#REF!</f>
        <v>#REF!</v>
      </c>
      <c r="AQ145" s="14"/>
      <c r="AR145" s="13" t="s">
        <v>61</v>
      </c>
      <c r="AS145" s="12" t="s">
        <v>25</v>
      </c>
      <c r="AT145" s="585" t="e">
        <f>AT144-#REF!</f>
        <v>#REF!</v>
      </c>
      <c r="AU145" s="14"/>
      <c r="AV145" s="13" t="s">
        <v>61</v>
      </c>
      <c r="AW145" s="12" t="s">
        <v>25</v>
      </c>
      <c r="AX145" s="585" t="e">
        <f>AX144-#REF!</f>
        <v>#REF!</v>
      </c>
      <c r="AY145" s="14"/>
      <c r="AZ145" s="13" t="s">
        <v>61</v>
      </c>
      <c r="BA145" s="12" t="s">
        <v>25</v>
      </c>
      <c r="BB145" s="585" t="e">
        <f>BB144-#REF!</f>
        <v>#REF!</v>
      </c>
      <c r="BC145" s="14"/>
      <c r="BD145" s="13" t="s">
        <v>61</v>
      </c>
      <c r="BE145" s="12" t="s">
        <v>25</v>
      </c>
      <c r="BF145" s="585" t="e">
        <f>BF144-#REF!</f>
        <v>#REF!</v>
      </c>
      <c r="BG145" s="14"/>
      <c r="BH145" s="13" t="s">
        <v>61</v>
      </c>
      <c r="BI145" s="12" t="s">
        <v>25</v>
      </c>
      <c r="BJ145" s="585" t="e">
        <f>BJ144-#REF!</f>
        <v>#REF!</v>
      </c>
      <c r="BK145" s="721">
        <f>(157619.8*2.42*6)+(157619.8*2.56*6)+(19375*1.97*6)+(19375*2.08*6)</f>
        <v>5180492.124</v>
      </c>
    </row>
    <row r="146" spans="7:63" ht="12.75">
      <c r="G146" s="14"/>
      <c r="H146" s="17" t="s">
        <v>64</v>
      </c>
      <c r="I146" s="12" t="s">
        <v>25</v>
      </c>
      <c r="J146" s="332">
        <f>J140+J142+J144</f>
        <v>15841.863827999998</v>
      </c>
      <c r="K146" s="14"/>
      <c r="L146" s="17" t="s">
        <v>64</v>
      </c>
      <c r="M146" s="12" t="s">
        <v>25</v>
      </c>
      <c r="N146" s="225">
        <f>N140+N142+N144</f>
        <v>1245.0081599999999</v>
      </c>
      <c r="O146" s="21" t="e">
        <f t="shared" si="4"/>
        <v>#REF!</v>
      </c>
      <c r="P146" s="252"/>
      <c r="Q146" s="252"/>
      <c r="R146" s="252"/>
      <c r="S146" s="252"/>
      <c r="T146" s="252"/>
      <c r="U146" s="252"/>
      <c r="V146" s="252"/>
      <c r="W146" s="14"/>
      <c r="X146" s="17" t="s">
        <v>64</v>
      </c>
      <c r="Y146" s="12" t="s">
        <v>25</v>
      </c>
      <c r="Z146" s="225">
        <f>Z140+Z142+Z144</f>
        <v>1642.92672</v>
      </c>
      <c r="AA146" s="14"/>
      <c r="AB146" s="17" t="s">
        <v>64</v>
      </c>
      <c r="AC146" s="12" t="s">
        <v>25</v>
      </c>
      <c r="AD146" s="225">
        <f>AD140+AD142+AD144</f>
        <v>1084.6836</v>
      </c>
      <c r="AE146" s="14"/>
      <c r="AF146" s="17" t="s">
        <v>64</v>
      </c>
      <c r="AG146" s="12" t="s">
        <v>25</v>
      </c>
      <c r="AH146" s="225">
        <f>AH140+AH142+AH144</f>
        <v>1615.875</v>
      </c>
      <c r="AI146" s="14"/>
      <c r="AJ146" s="17" t="s">
        <v>64</v>
      </c>
      <c r="AK146" s="12" t="s">
        <v>25</v>
      </c>
      <c r="AL146" s="225">
        <f>AL140+AL142+AL144</f>
        <v>1135.02888</v>
      </c>
      <c r="AM146" s="14"/>
      <c r="AN146" s="17" t="s">
        <v>64</v>
      </c>
      <c r="AO146" s="12" t="s">
        <v>25</v>
      </c>
      <c r="AP146" s="225">
        <f>AP140+AP142+AP144</f>
        <v>922.420068</v>
      </c>
      <c r="AQ146" s="14"/>
      <c r="AR146" s="17" t="s">
        <v>64</v>
      </c>
      <c r="AS146" s="12" t="s">
        <v>25</v>
      </c>
      <c r="AT146" s="225">
        <f>AT140+AT142+AT144</f>
        <v>578.7012</v>
      </c>
      <c r="AU146" s="14"/>
      <c r="AV146" s="17" t="s">
        <v>64</v>
      </c>
      <c r="AW146" s="12" t="s">
        <v>25</v>
      </c>
      <c r="AX146" s="225">
        <f>AX140+AX142+AX144</f>
        <v>1525.2951599999997</v>
      </c>
      <c r="AY146" s="14"/>
      <c r="AZ146" s="17" t="s">
        <v>64</v>
      </c>
      <c r="BA146" s="12" t="s">
        <v>25</v>
      </c>
      <c r="BB146" s="225">
        <f>BB140+BB142+BB144</f>
        <v>2419.956</v>
      </c>
      <c r="BC146" s="14"/>
      <c r="BD146" s="17" t="s">
        <v>64</v>
      </c>
      <c r="BE146" s="12" t="s">
        <v>25</v>
      </c>
      <c r="BF146" s="225">
        <f>BF140+BF142+BF144</f>
        <v>1347.0996</v>
      </c>
      <c r="BG146" s="14"/>
      <c r="BH146" s="17" t="s">
        <v>64</v>
      </c>
      <c r="BI146" s="12" t="s">
        <v>25</v>
      </c>
      <c r="BJ146" s="225">
        <f>BJ140+BJ142+BJ144</f>
        <v>2324.86944</v>
      </c>
      <c r="BK146" s="724"/>
    </row>
    <row r="147" spans="7:62" ht="12.75">
      <c r="G147" s="307"/>
      <c r="H147" s="314"/>
      <c r="I147" s="315"/>
      <c r="J147" s="316"/>
      <c r="K147" s="307"/>
      <c r="L147" s="314"/>
      <c r="M147" s="315"/>
      <c r="N147" s="222"/>
      <c r="O147" s="21" t="e">
        <f t="shared" si="4"/>
        <v>#REF!</v>
      </c>
      <c r="P147" s="252"/>
      <c r="Q147" s="252"/>
      <c r="R147" s="252"/>
      <c r="S147" s="252"/>
      <c r="T147" s="252"/>
      <c r="U147" s="252"/>
      <c r="V147" s="252"/>
      <c r="W147" s="307"/>
      <c r="X147" s="314"/>
      <c r="Y147" s="315"/>
      <c r="Z147" s="222"/>
      <c r="AA147" s="307"/>
      <c r="AB147" s="314"/>
      <c r="AC147" s="315"/>
      <c r="AD147" s="222"/>
      <c r="AE147" s="307"/>
      <c r="AF147" s="314"/>
      <c r="AG147" s="315"/>
      <c r="AH147" s="222"/>
      <c r="AI147" s="307"/>
      <c r="AJ147" s="314"/>
      <c r="AK147" s="315"/>
      <c r="AL147" s="222"/>
      <c r="AM147" s="307"/>
      <c r="AN147" s="314"/>
      <c r="AO147" s="315"/>
      <c r="AP147" s="694"/>
      <c r="AQ147" s="307"/>
      <c r="AR147" s="314"/>
      <c r="AS147" s="315"/>
      <c r="AT147" s="222"/>
      <c r="AU147" s="307"/>
      <c r="AV147" s="314"/>
      <c r="AW147" s="315"/>
      <c r="AX147" s="222"/>
      <c r="AY147" s="307"/>
      <c r="AZ147" s="314"/>
      <c r="BA147" s="315"/>
      <c r="BB147" s="222"/>
      <c r="BC147" s="307"/>
      <c r="BD147" s="314"/>
      <c r="BE147" s="315"/>
      <c r="BF147" s="222"/>
      <c r="BG147" s="307"/>
      <c r="BH147" s="314"/>
      <c r="BI147" s="315"/>
      <c r="BJ147" s="222"/>
    </row>
    <row r="148" spans="7:62" ht="15" customHeight="1">
      <c r="G148" s="307"/>
      <c r="H148" s="314"/>
      <c r="I148" s="315"/>
      <c r="J148" s="316"/>
      <c r="K148" s="307"/>
      <c r="L148" s="314"/>
      <c r="M148" s="315"/>
      <c r="N148" s="222"/>
      <c r="O148" s="21" t="e">
        <f t="shared" si="4"/>
        <v>#REF!</v>
      </c>
      <c r="P148" s="252"/>
      <c r="Q148" s="252"/>
      <c r="R148" s="252"/>
      <c r="S148" s="252"/>
      <c r="T148" s="252"/>
      <c r="U148" s="252"/>
      <c r="V148" s="252"/>
      <c r="W148" s="307"/>
      <c r="X148" s="314"/>
      <c r="Y148" s="315"/>
      <c r="Z148" s="222"/>
      <c r="AA148" s="307"/>
      <c r="AB148" s="314"/>
      <c r="AC148" s="315"/>
      <c r="AD148" s="222"/>
      <c r="AE148" s="307"/>
      <c r="AF148" s="314"/>
      <c r="AG148" s="315"/>
      <c r="AH148" s="222"/>
      <c r="AI148" s="307"/>
      <c r="AJ148" s="314"/>
      <c r="AK148" s="315"/>
      <c r="AL148" s="222"/>
      <c r="AM148" s="307"/>
      <c r="AN148" s="314"/>
      <c r="AO148" s="315"/>
      <c r="AP148" s="222"/>
      <c r="AQ148" s="307"/>
      <c r="AR148" s="314"/>
      <c r="AS148" s="315"/>
      <c r="AT148" s="222"/>
      <c r="AU148" s="307"/>
      <c r="AV148" s="314"/>
      <c r="AW148" s="315"/>
      <c r="AX148" s="222"/>
      <c r="AY148" s="307"/>
      <c r="AZ148" s="314"/>
      <c r="BA148" s="315"/>
      <c r="BB148" s="222"/>
      <c r="BC148" s="307"/>
      <c r="BD148" s="314"/>
      <c r="BE148" s="315"/>
      <c r="BF148" s="222"/>
      <c r="BG148" s="307"/>
      <c r="BH148" s="314"/>
      <c r="BI148" s="315"/>
      <c r="BJ148" s="222"/>
    </row>
    <row r="149" spans="7:62" ht="15" customHeight="1">
      <c r="G149" s="307"/>
      <c r="H149" s="314"/>
      <c r="I149" s="315"/>
      <c r="J149" s="316"/>
      <c r="K149" s="307"/>
      <c r="L149" s="314"/>
      <c r="M149" s="315"/>
      <c r="N149" s="222"/>
      <c r="O149" s="21" t="e">
        <f t="shared" si="4"/>
        <v>#REF!</v>
      </c>
      <c r="P149" s="252"/>
      <c r="Q149" s="252"/>
      <c r="R149" s="252"/>
      <c r="S149" s="252"/>
      <c r="T149" s="252"/>
      <c r="U149" s="252"/>
      <c r="V149" s="252"/>
      <c r="W149" s="307"/>
      <c r="X149" s="314"/>
      <c r="Y149" s="315"/>
      <c r="Z149" s="222"/>
      <c r="AA149" s="307"/>
      <c r="AB149" s="314"/>
      <c r="AC149" s="315"/>
      <c r="AD149" s="222"/>
      <c r="AE149" s="307"/>
      <c r="AF149" s="314"/>
      <c r="AG149" s="315"/>
      <c r="AH149" s="222"/>
      <c r="AI149" s="307"/>
      <c r="AJ149" s="314"/>
      <c r="AK149" s="315"/>
      <c r="AL149" s="222"/>
      <c r="AM149" s="307"/>
      <c r="AN149" s="314"/>
      <c r="AO149" s="315"/>
      <c r="AP149" s="222"/>
      <c r="AQ149" s="307"/>
      <c r="AR149" s="314"/>
      <c r="AS149" s="315"/>
      <c r="AT149" s="222"/>
      <c r="AU149" s="307"/>
      <c r="AV149" s="314"/>
      <c r="AW149" s="315"/>
      <c r="AX149" s="222"/>
      <c r="AY149" s="307"/>
      <c r="AZ149" s="314"/>
      <c r="BA149" s="315"/>
      <c r="BB149" s="222"/>
      <c r="BC149" s="307"/>
      <c r="BD149" s="314"/>
      <c r="BE149" s="315"/>
      <c r="BF149" s="222"/>
      <c r="BG149" s="307"/>
      <c r="BH149" s="314"/>
      <c r="BI149" s="315"/>
      <c r="BJ149" s="222"/>
    </row>
    <row r="150" spans="7:15" s="252" customFormat="1" ht="15" customHeight="1">
      <c r="G150" s="251"/>
      <c r="H150" s="251"/>
      <c r="I150" s="251"/>
      <c r="J150" s="29"/>
      <c r="K150" s="251"/>
      <c r="L150" s="251"/>
      <c r="M150" s="251"/>
      <c r="N150" s="251"/>
      <c r="O150" s="21" t="e">
        <f t="shared" si="4"/>
        <v>#REF!</v>
      </c>
    </row>
    <row r="151" spans="8:62" s="29" customFormat="1" ht="32.25" customHeight="1">
      <c r="H151" s="148" t="s">
        <v>65</v>
      </c>
      <c r="I151" s="762" t="s">
        <v>244</v>
      </c>
      <c r="J151" s="762"/>
      <c r="M151" s="148" t="s">
        <v>65</v>
      </c>
      <c r="N151" s="156" t="s">
        <v>244</v>
      </c>
      <c r="O151" s="21" t="e">
        <f>O150-P150</f>
        <v>#REF!</v>
      </c>
      <c r="Y151" s="148" t="s">
        <v>65</v>
      </c>
      <c r="Z151" s="156" t="s">
        <v>244</v>
      </c>
      <c r="AC151" s="148" t="s">
        <v>65</v>
      </c>
      <c r="AD151" s="156" t="s">
        <v>244</v>
      </c>
      <c r="AG151" s="148" t="s">
        <v>65</v>
      </c>
      <c r="AH151" s="156" t="s">
        <v>244</v>
      </c>
      <c r="AK151" s="148" t="s">
        <v>65</v>
      </c>
      <c r="AL151" s="156" t="s">
        <v>244</v>
      </c>
      <c r="AO151" s="148" t="s">
        <v>65</v>
      </c>
      <c r="AP151" s="156" t="s">
        <v>244</v>
      </c>
      <c r="AS151" s="148" t="s">
        <v>65</v>
      </c>
      <c r="AT151" s="156" t="s">
        <v>244</v>
      </c>
      <c r="AW151" s="148" t="s">
        <v>65</v>
      </c>
      <c r="AX151" s="156" t="s">
        <v>244</v>
      </c>
      <c r="BA151" s="148" t="s">
        <v>65</v>
      </c>
      <c r="BB151" s="156" t="s">
        <v>244</v>
      </c>
      <c r="BE151" s="148" t="s">
        <v>65</v>
      </c>
      <c r="BF151" s="156" t="s">
        <v>244</v>
      </c>
      <c r="BI151" s="148" t="s">
        <v>65</v>
      </c>
      <c r="BJ151" s="156" t="s">
        <v>244</v>
      </c>
    </row>
    <row r="152" spans="8:62" s="34" customFormat="1" ht="32.25" customHeight="1">
      <c r="H152" s="147" t="s">
        <v>79</v>
      </c>
      <c r="I152" s="763" t="s">
        <v>312</v>
      </c>
      <c r="J152" s="763"/>
      <c r="M152" s="147" t="s">
        <v>79</v>
      </c>
      <c r="N152" s="728" t="s">
        <v>312</v>
      </c>
      <c r="O152" s="21" t="e">
        <f>O151-P151</f>
        <v>#REF!</v>
      </c>
      <c r="Y152" s="147" t="s">
        <v>79</v>
      </c>
      <c r="Z152" s="728" t="s">
        <v>312</v>
      </c>
      <c r="AC152" s="147" t="s">
        <v>79</v>
      </c>
      <c r="AD152" s="728" t="s">
        <v>312</v>
      </c>
      <c r="AG152" s="147" t="s">
        <v>79</v>
      </c>
      <c r="AH152" s="728" t="s">
        <v>312</v>
      </c>
      <c r="AK152" s="147" t="s">
        <v>79</v>
      </c>
      <c r="AL152" s="728" t="s">
        <v>312</v>
      </c>
      <c r="AO152" s="147" t="s">
        <v>79</v>
      </c>
      <c r="AP152" s="728" t="s">
        <v>312</v>
      </c>
      <c r="AS152" s="147" t="s">
        <v>79</v>
      </c>
      <c r="AT152" s="728" t="s">
        <v>312</v>
      </c>
      <c r="AW152" s="147" t="s">
        <v>79</v>
      </c>
      <c r="AX152" s="728" t="s">
        <v>312</v>
      </c>
      <c r="BA152" s="147" t="s">
        <v>79</v>
      </c>
      <c r="BB152" s="728" t="s">
        <v>312</v>
      </c>
      <c r="BE152" s="147" t="s">
        <v>79</v>
      </c>
      <c r="BF152" s="728" t="s">
        <v>312</v>
      </c>
      <c r="BI152" s="147" t="s">
        <v>79</v>
      </c>
      <c r="BJ152" s="728" t="s">
        <v>312</v>
      </c>
    </row>
    <row r="153" spans="8:62" s="29" customFormat="1" ht="32.25" customHeight="1">
      <c r="H153" s="148" t="s">
        <v>66</v>
      </c>
      <c r="I153" s="762" t="s">
        <v>234</v>
      </c>
      <c r="J153" s="762"/>
      <c r="M153" s="148" t="s">
        <v>66</v>
      </c>
      <c r="N153" s="156" t="s">
        <v>234</v>
      </c>
      <c r="O153" s="21" t="e">
        <f>O152-P152</f>
        <v>#REF!</v>
      </c>
      <c r="Y153" s="148" t="s">
        <v>66</v>
      </c>
      <c r="Z153" s="156" t="s">
        <v>234</v>
      </c>
      <c r="AC153" s="148" t="s">
        <v>66</v>
      </c>
      <c r="AD153" s="156" t="s">
        <v>234</v>
      </c>
      <c r="AG153" s="148" t="s">
        <v>66</v>
      </c>
      <c r="AH153" s="156" t="s">
        <v>234</v>
      </c>
      <c r="AK153" s="148" t="s">
        <v>66</v>
      </c>
      <c r="AL153" s="156" t="s">
        <v>234</v>
      </c>
      <c r="AO153" s="148" t="s">
        <v>66</v>
      </c>
      <c r="AP153" s="156" t="s">
        <v>234</v>
      </c>
      <c r="AS153" s="148" t="s">
        <v>66</v>
      </c>
      <c r="AT153" s="156" t="s">
        <v>234</v>
      </c>
      <c r="AW153" s="148" t="s">
        <v>66</v>
      </c>
      <c r="AX153" s="156" t="s">
        <v>234</v>
      </c>
      <c r="BA153" s="148" t="s">
        <v>66</v>
      </c>
      <c r="BB153" s="156" t="s">
        <v>234</v>
      </c>
      <c r="BE153" s="148" t="s">
        <v>66</v>
      </c>
      <c r="BF153" s="156" t="s">
        <v>234</v>
      </c>
      <c r="BI153" s="148" t="s">
        <v>66</v>
      </c>
      <c r="BJ153" s="156" t="s">
        <v>234</v>
      </c>
    </row>
    <row r="154" spans="7:62" s="29" customFormat="1" ht="32.25" customHeight="1">
      <c r="G154" s="762" t="s">
        <v>293</v>
      </c>
      <c r="H154" s="762"/>
      <c r="I154" s="144" t="s">
        <v>300</v>
      </c>
      <c r="J154" s="146"/>
      <c r="L154" s="764" t="s">
        <v>293</v>
      </c>
      <c r="M154" s="764"/>
      <c r="N154" s="144" t="s">
        <v>300</v>
      </c>
      <c r="O154" s="21" t="e">
        <f>O153-P153</f>
        <v>#REF!</v>
      </c>
      <c r="X154" s="764" t="s">
        <v>293</v>
      </c>
      <c r="Y154" s="764"/>
      <c r="Z154" s="144" t="s">
        <v>300</v>
      </c>
      <c r="AB154" s="764" t="s">
        <v>293</v>
      </c>
      <c r="AC154" s="764"/>
      <c r="AD154" s="144" t="s">
        <v>300</v>
      </c>
      <c r="AF154" s="764" t="s">
        <v>293</v>
      </c>
      <c r="AG154" s="764"/>
      <c r="AH154" s="144" t="s">
        <v>300</v>
      </c>
      <c r="AJ154" s="764" t="s">
        <v>293</v>
      </c>
      <c r="AK154" s="764"/>
      <c r="AL154" s="144" t="s">
        <v>300</v>
      </c>
      <c r="AN154" s="764" t="s">
        <v>293</v>
      </c>
      <c r="AO154" s="764"/>
      <c r="AP154" s="144" t="s">
        <v>300</v>
      </c>
      <c r="AR154" s="764" t="s">
        <v>293</v>
      </c>
      <c r="AS154" s="764"/>
      <c r="AT154" s="144" t="s">
        <v>300</v>
      </c>
      <c r="AV154" s="764" t="s">
        <v>293</v>
      </c>
      <c r="AW154" s="764"/>
      <c r="AX154" s="144" t="s">
        <v>300</v>
      </c>
      <c r="AZ154" s="764" t="s">
        <v>293</v>
      </c>
      <c r="BA154" s="764"/>
      <c r="BB154" s="144" t="s">
        <v>300</v>
      </c>
      <c r="BD154" s="764" t="s">
        <v>293</v>
      </c>
      <c r="BE154" s="764"/>
      <c r="BF154" s="144" t="s">
        <v>300</v>
      </c>
      <c r="BH154" s="764" t="s">
        <v>293</v>
      </c>
      <c r="BI154" s="764"/>
      <c r="BJ154" s="144" t="s">
        <v>300</v>
      </c>
    </row>
    <row r="155" s="29" customFormat="1" ht="22.5" customHeight="1"/>
    <row r="156" spans="7:60" s="29" customFormat="1" ht="18.75" customHeight="1">
      <c r="G156" s="686"/>
      <c r="L156" s="144" t="s">
        <v>416</v>
      </c>
      <c r="X156" s="144" t="s">
        <v>417</v>
      </c>
      <c r="AB156" s="144" t="s">
        <v>418</v>
      </c>
      <c r="AF156" s="144" t="s">
        <v>419</v>
      </c>
      <c r="AJ156" s="144" t="s">
        <v>420</v>
      </c>
      <c r="AN156" s="144" t="s">
        <v>421</v>
      </c>
      <c r="AR156" s="144" t="s">
        <v>422</v>
      </c>
      <c r="AV156" s="144" t="s">
        <v>423</v>
      </c>
      <c r="AZ156" s="144" t="s">
        <v>424</v>
      </c>
      <c r="BD156" s="144" t="s">
        <v>425</v>
      </c>
      <c r="BH156" s="144" t="s">
        <v>426</v>
      </c>
    </row>
    <row r="157" s="29" customFormat="1" ht="18.75" customHeight="1"/>
    <row r="158" s="29" customFormat="1" ht="18.75" customHeight="1"/>
  </sheetData>
  <sheetProtection/>
  <mergeCells count="77">
    <mergeCell ref="B27:E27"/>
    <mergeCell ref="AZ154:BA154"/>
    <mergeCell ref="X154:Y154"/>
    <mergeCell ref="AB154:AC154"/>
    <mergeCell ref="AV154:AW154"/>
    <mergeCell ref="AR154:AS154"/>
    <mergeCell ref="BH154:BI154"/>
    <mergeCell ref="BD154:BE154"/>
    <mergeCell ref="N19:N20"/>
    <mergeCell ref="AA18:AA20"/>
    <mergeCell ref="H18:H20"/>
    <mergeCell ref="AL19:AL20"/>
    <mergeCell ref="AE18:AE20"/>
    <mergeCell ref="L154:M154"/>
    <mergeCell ref="J19:J20"/>
    <mergeCell ref="M18:M20"/>
    <mergeCell ref="L18:L20"/>
    <mergeCell ref="AQ18:AQ20"/>
    <mergeCell ref="AT19:AT20"/>
    <mergeCell ref="AU18:AU20"/>
    <mergeCell ref="AR18:AR20"/>
    <mergeCell ref="AF154:AG154"/>
    <mergeCell ref="AI18:AI20"/>
    <mergeCell ref="AN154:AO154"/>
    <mergeCell ref="AN18:AN20"/>
    <mergeCell ref="AJ154:AK154"/>
    <mergeCell ref="AK18:AK20"/>
    <mergeCell ref="BC18:BC20"/>
    <mergeCell ref="BG18:BG20"/>
    <mergeCell ref="BJ19:BJ20"/>
    <mergeCell ref="BI18:BI20"/>
    <mergeCell ref="BH18:BH20"/>
    <mergeCell ref="G154:H154"/>
    <mergeCell ref="I153:J153"/>
    <mergeCell ref="I152:J152"/>
    <mergeCell ref="I151:J151"/>
    <mergeCell ref="G18:G20"/>
    <mergeCell ref="BG6:BJ6"/>
    <mergeCell ref="AQ6:AT6"/>
    <mergeCell ref="AU6:AX6"/>
    <mergeCell ref="BD18:BD20"/>
    <mergeCell ref="AS18:AS20"/>
    <mergeCell ref="BB19:BB20"/>
    <mergeCell ref="AV18:AV20"/>
    <mergeCell ref="AX19:AX20"/>
    <mergeCell ref="AZ18:AZ20"/>
    <mergeCell ref="AW18:AW20"/>
    <mergeCell ref="AP19:AP20"/>
    <mergeCell ref="AM18:AM20"/>
    <mergeCell ref="BC6:BF6"/>
    <mergeCell ref="AM6:AP6"/>
    <mergeCell ref="AY6:BB6"/>
    <mergeCell ref="AO18:AO20"/>
    <mergeCell ref="BA18:BA20"/>
    <mergeCell ref="AY18:AY20"/>
    <mergeCell ref="BE18:BE20"/>
    <mergeCell ref="BF19:BF20"/>
    <mergeCell ref="AJ18:AJ20"/>
    <mergeCell ref="AA6:AD6"/>
    <mergeCell ref="AI6:AL6"/>
    <mergeCell ref="AB18:AB20"/>
    <mergeCell ref="AD19:AD20"/>
    <mergeCell ref="AC18:AC20"/>
    <mergeCell ref="AE6:AH6"/>
    <mergeCell ref="AG18:AG20"/>
    <mergeCell ref="AH19:AH20"/>
    <mergeCell ref="AF18:AF20"/>
    <mergeCell ref="G6:J6"/>
    <mergeCell ref="G7:J7"/>
    <mergeCell ref="K6:N6"/>
    <mergeCell ref="W6:Z6"/>
    <mergeCell ref="K18:K20"/>
    <mergeCell ref="W18:W20"/>
    <mergeCell ref="Z19:Z20"/>
    <mergeCell ref="Y18:Y20"/>
    <mergeCell ref="X18:X20"/>
    <mergeCell ref="I18:I20"/>
  </mergeCells>
  <printOptions/>
  <pageMargins left="0.8" right="0.29" top="0.38" bottom="0.29" header="0.32" footer="0.2755905511811024"/>
  <pageSetup fitToHeight="2" horizontalDpi="600" verticalDpi="600" orientation="landscape" paperSize="9" scale="73" r:id="rId1"/>
  <rowBreaks count="3" manualBreakCount="3">
    <brk id="71" max="167" man="1"/>
    <brk id="126" max="167" man="1"/>
    <brk id="154" max="167" man="1"/>
  </rowBreaks>
  <colBreaks count="3" manualBreakCount="3">
    <brk id="6" max="65535" man="1"/>
    <brk id="10" max="65535" man="1"/>
    <brk id="30" max="1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EE150"/>
  <sheetViews>
    <sheetView zoomScale="85" zoomScaleNormal="85" zoomScaleSheetLayoutView="100" zoomScalePageLayoutView="0" workbookViewId="0" topLeftCell="G1">
      <pane xSplit="3" ySplit="20" topLeftCell="J21" activePane="bottomRight" state="frozen"/>
      <selection pane="topLeft" activeCell="G1" sqref="G1"/>
      <selection pane="topRight" activeCell="J1" sqref="J1"/>
      <selection pane="bottomLeft" activeCell="G21" sqref="G21"/>
      <selection pane="bottomRight" activeCell="W146" sqref="W146"/>
    </sheetView>
  </sheetViews>
  <sheetFormatPr defaultColWidth="9.00390625" defaultRowHeight="12.75"/>
  <cols>
    <col min="1" max="1" width="5.875" style="0" customWidth="1"/>
    <col min="2" max="2" width="50.25390625" style="0" customWidth="1"/>
    <col min="3" max="4" width="10.375" style="0" customWidth="1"/>
    <col min="5" max="5" width="14.25390625" style="0" customWidth="1"/>
    <col min="6" max="6" width="10.375" style="0" customWidth="1"/>
    <col min="7" max="7" width="6.125" style="0" bestFit="1" customWidth="1"/>
    <col min="8" max="8" width="46.25390625" style="0" customWidth="1"/>
    <col min="9" max="10" width="11.375" style="0" customWidth="1"/>
    <col min="11" max="11" width="9.125" style="0" hidden="1" customWidth="1"/>
    <col min="12" max="12" width="9.75390625" style="38" hidden="1" customWidth="1"/>
    <col min="13" max="13" width="9.125" style="0" hidden="1" customWidth="1"/>
    <col min="14" max="14" width="10.00390625" style="38" hidden="1" customWidth="1"/>
    <col min="15" max="15" width="9.125" style="0" hidden="1" customWidth="1"/>
    <col min="16" max="16" width="9.625" style="38" hidden="1" customWidth="1"/>
    <col min="17" max="17" width="9.125" style="0" hidden="1" customWidth="1"/>
    <col min="18" max="19" width="9.125" style="38" hidden="1" customWidth="1"/>
    <col min="20" max="20" width="2.00390625" style="0" hidden="1" customWidth="1"/>
    <col min="21" max="21" width="6.75390625" style="0" hidden="1" customWidth="1"/>
    <col min="23" max="23" width="50.75390625" style="0" customWidth="1"/>
    <col min="24" max="24" width="12.25390625" style="0" bestFit="1" customWidth="1"/>
    <col min="25" max="25" width="9.75390625" style="0" bestFit="1" customWidth="1"/>
    <col min="27" max="27" width="50.75390625" style="0" customWidth="1"/>
    <col min="28" max="28" width="12.25390625" style="0" bestFit="1" customWidth="1"/>
    <col min="31" max="31" width="50.75390625" style="0" customWidth="1"/>
    <col min="32" max="32" width="12.25390625" style="0" bestFit="1" customWidth="1"/>
    <col min="33" max="33" width="9.75390625" style="0" bestFit="1" customWidth="1"/>
    <col min="35" max="35" width="50.75390625" style="0" customWidth="1"/>
    <col min="36" max="36" width="12.25390625" style="0" bestFit="1" customWidth="1"/>
    <col min="37" max="37" width="9.75390625" style="0" bestFit="1" customWidth="1"/>
    <col min="39" max="39" width="50.75390625" style="0" customWidth="1"/>
    <col min="40" max="40" width="12.25390625" style="0" bestFit="1" customWidth="1"/>
    <col min="43" max="43" width="50.75390625" style="0" customWidth="1"/>
    <col min="44" max="44" width="12.25390625" style="0" bestFit="1" customWidth="1"/>
    <col min="45" max="45" width="10.875" style="0" customWidth="1"/>
    <col min="47" max="47" width="50.75390625" style="0" customWidth="1"/>
    <col min="48" max="48" width="12.25390625" style="0" bestFit="1" customWidth="1"/>
    <col min="50" max="50" width="19.625" style="0" customWidth="1"/>
    <col min="51" max="51" width="50.75390625" style="0" customWidth="1"/>
    <col min="52" max="52" width="12.25390625" style="0" bestFit="1" customWidth="1"/>
    <col min="55" max="55" width="9.625" style="0" bestFit="1" customWidth="1"/>
  </cols>
  <sheetData>
    <row r="6" spans="7:49" ht="18.75">
      <c r="G6" s="746" t="s">
        <v>324</v>
      </c>
      <c r="H6" s="746"/>
      <c r="I6" s="746"/>
      <c r="J6" s="746"/>
      <c r="V6" s="746" t="s">
        <v>324</v>
      </c>
      <c r="W6" s="746"/>
      <c r="X6" s="746"/>
      <c r="Y6" s="746"/>
      <c r="Z6" s="746" t="s">
        <v>324</v>
      </c>
      <c r="AA6" s="746"/>
      <c r="AB6" s="746"/>
      <c r="AC6" s="746"/>
      <c r="AD6" s="746" t="s">
        <v>324</v>
      </c>
      <c r="AE6" s="746"/>
      <c r="AF6" s="746"/>
      <c r="AG6" s="746"/>
      <c r="AH6" s="746" t="s">
        <v>324</v>
      </c>
      <c r="AI6" s="746"/>
      <c r="AJ6" s="746"/>
      <c r="AK6" s="746"/>
      <c r="AL6" s="746" t="s">
        <v>324</v>
      </c>
      <c r="AM6" s="746"/>
      <c r="AN6" s="746"/>
      <c r="AO6" s="746"/>
      <c r="AP6" s="746" t="s">
        <v>324</v>
      </c>
      <c r="AQ6" s="746"/>
      <c r="AR6" s="746"/>
      <c r="AS6" s="746"/>
      <c r="AT6" s="746" t="s">
        <v>324</v>
      </c>
      <c r="AU6" s="746"/>
      <c r="AV6" s="746"/>
      <c r="AW6" s="746"/>
    </row>
    <row r="7" spans="7:48" s="30" customFormat="1" ht="15.75">
      <c r="G7" s="761" t="s">
        <v>147</v>
      </c>
      <c r="H7" s="761"/>
      <c r="I7" s="761"/>
      <c r="J7" s="761"/>
      <c r="L7" s="165"/>
      <c r="N7" s="165"/>
      <c r="P7" s="165"/>
      <c r="R7" s="165"/>
      <c r="S7" s="165"/>
      <c r="W7" s="30" t="s">
        <v>1</v>
      </c>
      <c r="X7" s="30" t="s">
        <v>102</v>
      </c>
      <c r="AA7" s="30" t="s">
        <v>1</v>
      </c>
      <c r="AB7" s="30" t="s">
        <v>103</v>
      </c>
      <c r="AE7" s="30" t="s">
        <v>1</v>
      </c>
      <c r="AF7" s="30" t="s">
        <v>104</v>
      </c>
      <c r="AI7" s="30" t="s">
        <v>1</v>
      </c>
      <c r="AJ7" s="30" t="s">
        <v>105</v>
      </c>
      <c r="AM7" s="30" t="s">
        <v>1</v>
      </c>
      <c r="AN7" s="30" t="s">
        <v>106</v>
      </c>
      <c r="AQ7" s="30" t="s">
        <v>1</v>
      </c>
      <c r="AR7" s="30" t="s">
        <v>107</v>
      </c>
      <c r="AU7" s="30" t="s">
        <v>1</v>
      </c>
      <c r="AV7" s="30" t="s">
        <v>108</v>
      </c>
    </row>
    <row r="8" spans="12:49" s="291" customFormat="1" ht="12.75">
      <c r="L8" s="292"/>
      <c r="N8" s="292"/>
      <c r="P8" s="292"/>
      <c r="R8" s="292"/>
      <c r="S8" s="292"/>
      <c r="W8" s="291" t="s">
        <v>5</v>
      </c>
      <c r="X8" s="291">
        <v>5</v>
      </c>
      <c r="Y8" t="s">
        <v>320</v>
      </c>
      <c r="AA8" s="291" t="s">
        <v>5</v>
      </c>
      <c r="AB8" s="291">
        <v>9</v>
      </c>
      <c r="AC8" t="s">
        <v>321</v>
      </c>
      <c r="AE8" s="291" t="s">
        <v>5</v>
      </c>
      <c r="AF8" s="291">
        <v>5</v>
      </c>
      <c r="AG8" t="s">
        <v>321</v>
      </c>
      <c r="AI8" s="291" t="s">
        <v>5</v>
      </c>
      <c r="AJ8" s="291">
        <v>5</v>
      </c>
      <c r="AK8" t="s">
        <v>321</v>
      </c>
      <c r="AM8" s="291" t="s">
        <v>5</v>
      </c>
      <c r="AN8" s="291">
        <v>9</v>
      </c>
      <c r="AO8" s="291" t="s">
        <v>320</v>
      </c>
      <c r="AQ8" s="291" t="s">
        <v>5</v>
      </c>
      <c r="AR8" s="291">
        <v>5</v>
      </c>
      <c r="AS8" t="s">
        <v>321</v>
      </c>
      <c r="AU8" s="291" t="s">
        <v>5</v>
      </c>
      <c r="AV8" s="291">
        <v>9</v>
      </c>
      <c r="AW8" s="291">
        <v>10</v>
      </c>
    </row>
    <row r="9" spans="8:49" s="291" customFormat="1" ht="15">
      <c r="H9" s="61" t="s">
        <v>2</v>
      </c>
      <c r="I9" s="293">
        <f>X9+AB9+AF9+AJ9+AN9+AR9+AV9</f>
        <v>208</v>
      </c>
      <c r="J9" s="730">
        <f>J65+J72</f>
        <v>208</v>
      </c>
      <c r="L9" s="292"/>
      <c r="N9" s="292"/>
      <c r="P9" s="292"/>
      <c r="R9" s="292"/>
      <c r="S9" s="292"/>
      <c r="W9" s="291" t="s">
        <v>2</v>
      </c>
      <c r="X9" s="291">
        <v>62</v>
      </c>
      <c r="Y9" s="291">
        <f>Y65+Y72</f>
        <v>62</v>
      </c>
      <c r="AA9" s="291" t="s">
        <v>2</v>
      </c>
      <c r="AB9" s="291">
        <v>7</v>
      </c>
      <c r="AC9" s="291">
        <f>AC65+AC72</f>
        <v>7</v>
      </c>
      <c r="AE9" s="291" t="s">
        <v>2</v>
      </c>
      <c r="AF9" s="291">
        <v>48</v>
      </c>
      <c r="AG9" s="291">
        <f>AG65+AG72</f>
        <v>48</v>
      </c>
      <c r="AI9" s="291" t="s">
        <v>2</v>
      </c>
      <c r="AJ9" s="291">
        <v>40</v>
      </c>
      <c r="AM9" s="291" t="s">
        <v>2</v>
      </c>
      <c r="AN9" s="291">
        <v>10</v>
      </c>
      <c r="AQ9" s="291" t="s">
        <v>2</v>
      </c>
      <c r="AR9" s="291">
        <v>38</v>
      </c>
      <c r="AU9" s="291" t="s">
        <v>2</v>
      </c>
      <c r="AV9" s="291">
        <v>3</v>
      </c>
      <c r="AW9" s="291">
        <v>3</v>
      </c>
    </row>
    <row r="10" spans="8:47" ht="12.75" hidden="1">
      <c r="H10" t="s">
        <v>3</v>
      </c>
      <c r="W10" t="s">
        <v>3</v>
      </c>
      <c r="AA10" t="s">
        <v>3</v>
      </c>
      <c r="AE10" t="s">
        <v>3</v>
      </c>
      <c r="AI10" t="s">
        <v>3</v>
      </c>
      <c r="AM10" t="s">
        <v>3</v>
      </c>
      <c r="AQ10" t="s">
        <v>3</v>
      </c>
      <c r="AU10" t="s">
        <v>3</v>
      </c>
    </row>
    <row r="11" spans="8:47" ht="12.75" hidden="1">
      <c r="H11" t="s">
        <v>4</v>
      </c>
      <c r="W11" t="s">
        <v>4</v>
      </c>
      <c r="AA11" t="s">
        <v>4</v>
      </c>
      <c r="AE11" t="s">
        <v>4</v>
      </c>
      <c r="AI11" t="s">
        <v>4</v>
      </c>
      <c r="AM11" t="s">
        <v>4</v>
      </c>
      <c r="AQ11" t="s">
        <v>4</v>
      </c>
      <c r="AU11" t="s">
        <v>4</v>
      </c>
    </row>
    <row r="12" ht="12.75" hidden="1"/>
    <row r="13" spans="8:49" ht="15" hidden="1">
      <c r="H13" s="281" t="s">
        <v>306</v>
      </c>
      <c r="I13" s="281"/>
      <c r="J13" s="281"/>
      <c r="W13" s="281" t="s">
        <v>306</v>
      </c>
      <c r="X13" s="281"/>
      <c r="Y13" s="281"/>
      <c r="AA13" s="281" t="s">
        <v>306</v>
      </c>
      <c r="AB13" s="281"/>
      <c r="AC13" s="281"/>
      <c r="AE13" s="281" t="s">
        <v>306</v>
      </c>
      <c r="AF13" s="281"/>
      <c r="AG13" s="281"/>
      <c r="AI13" s="281" t="s">
        <v>306</v>
      </c>
      <c r="AJ13" s="281"/>
      <c r="AK13" s="281"/>
      <c r="AM13" s="281" t="s">
        <v>306</v>
      </c>
      <c r="AN13" s="281"/>
      <c r="AO13" s="281"/>
      <c r="AQ13" s="281" t="s">
        <v>306</v>
      </c>
      <c r="AR13" s="281"/>
      <c r="AS13" s="281"/>
      <c r="AU13" s="281" t="s">
        <v>306</v>
      </c>
      <c r="AV13" s="281"/>
      <c r="AW13" s="281"/>
    </row>
    <row r="14" spans="8:49" ht="25.5" hidden="1">
      <c r="H14" s="282"/>
      <c r="I14" s="283" t="s">
        <v>303</v>
      </c>
      <c r="J14" s="283" t="s">
        <v>304</v>
      </c>
      <c r="W14" s="282"/>
      <c r="X14" s="283" t="s">
        <v>303</v>
      </c>
      <c r="Y14" s="283" t="s">
        <v>304</v>
      </c>
      <c r="AA14" s="282"/>
      <c r="AB14" s="283" t="s">
        <v>303</v>
      </c>
      <c r="AC14" s="283" t="s">
        <v>304</v>
      </c>
      <c r="AE14" s="282"/>
      <c r="AF14" s="283" t="s">
        <v>303</v>
      </c>
      <c r="AG14" s="283" t="s">
        <v>304</v>
      </c>
      <c r="AI14" s="282"/>
      <c r="AJ14" s="283" t="s">
        <v>303</v>
      </c>
      <c r="AK14" s="283" t="s">
        <v>304</v>
      </c>
      <c r="AM14" s="282"/>
      <c r="AN14" s="283" t="s">
        <v>303</v>
      </c>
      <c r="AO14" s="283" t="s">
        <v>304</v>
      </c>
      <c r="AQ14" s="282"/>
      <c r="AR14" s="283" t="s">
        <v>303</v>
      </c>
      <c r="AS14" s="283" t="s">
        <v>304</v>
      </c>
      <c r="AU14" s="282"/>
      <c r="AV14" s="283" t="s">
        <v>303</v>
      </c>
      <c r="AW14" s="283" t="s">
        <v>304</v>
      </c>
    </row>
    <row r="15" spans="8:49" ht="12.75" hidden="1">
      <c r="H15" s="285" t="s">
        <v>305</v>
      </c>
      <c r="I15" s="286">
        <v>33434462.98</v>
      </c>
      <c r="J15" s="286">
        <v>32369004.029999997</v>
      </c>
      <c r="W15" s="285" t="s">
        <v>305</v>
      </c>
      <c r="X15" s="286">
        <v>8446441.57</v>
      </c>
      <c r="Y15" s="286">
        <v>8206610.290000001</v>
      </c>
      <c r="AA15" s="285" t="s">
        <v>305</v>
      </c>
      <c r="AB15" s="286">
        <v>2664654.53</v>
      </c>
      <c r="AC15" s="286">
        <v>2598803.21</v>
      </c>
      <c r="AE15" s="285" t="s">
        <v>305</v>
      </c>
      <c r="AF15" s="286">
        <v>6757991.590000001</v>
      </c>
      <c r="AG15" s="286">
        <v>6359439.32</v>
      </c>
      <c r="AI15" s="285" t="s">
        <v>305</v>
      </c>
      <c r="AJ15" s="286">
        <v>5759847.8</v>
      </c>
      <c r="AK15" s="286">
        <v>5658467.2</v>
      </c>
      <c r="AM15" s="285" t="s">
        <v>305</v>
      </c>
      <c r="AN15" s="286">
        <v>3701941.250000001</v>
      </c>
      <c r="AO15" s="286">
        <v>3636289.8800000004</v>
      </c>
      <c r="AQ15" s="285" t="s">
        <v>305</v>
      </c>
      <c r="AR15" s="286">
        <v>5053807.7</v>
      </c>
      <c r="AS15" s="286">
        <v>4820895.39</v>
      </c>
      <c r="AU15" s="285" t="s">
        <v>305</v>
      </c>
      <c r="AV15" s="286">
        <v>1049778.54</v>
      </c>
      <c r="AW15" s="286">
        <v>1088498.74</v>
      </c>
    </row>
    <row r="16" spans="8:49" ht="12.75" hidden="1">
      <c r="H16" s="285" t="s">
        <v>309</v>
      </c>
      <c r="I16" s="286">
        <v>10528643.969999999</v>
      </c>
      <c r="J16" s="286">
        <v>10371668.83</v>
      </c>
      <c r="W16" s="285" t="s">
        <v>309</v>
      </c>
      <c r="X16" s="286">
        <v>2561048.27</v>
      </c>
      <c r="Y16" s="286">
        <v>2517216.48</v>
      </c>
      <c r="AA16" s="285" t="s">
        <v>309</v>
      </c>
      <c r="AB16" s="286">
        <v>886368.51</v>
      </c>
      <c r="AC16" s="286">
        <v>867732.5599999999</v>
      </c>
      <c r="AE16" s="285" t="s">
        <v>309</v>
      </c>
      <c r="AF16" s="286">
        <v>2068685.1400000001</v>
      </c>
      <c r="AG16" s="286">
        <v>1985999.64</v>
      </c>
      <c r="AI16" s="285" t="s">
        <v>309</v>
      </c>
      <c r="AJ16" s="286">
        <v>1735749.37</v>
      </c>
      <c r="AK16" s="286">
        <v>1728917.63</v>
      </c>
      <c r="AM16" s="285" t="s">
        <v>309</v>
      </c>
      <c r="AN16" s="286">
        <v>1229950.39</v>
      </c>
      <c r="AO16" s="286">
        <v>1206204.2</v>
      </c>
      <c r="AQ16" s="285" t="s">
        <v>309</v>
      </c>
      <c r="AR16" s="286">
        <v>1568240.5899999999</v>
      </c>
      <c r="AS16" s="286">
        <v>1525347.85</v>
      </c>
      <c r="AU16" s="285" t="s">
        <v>309</v>
      </c>
      <c r="AV16" s="286">
        <v>478601.69999999995</v>
      </c>
      <c r="AW16" s="286">
        <v>540250.4700000001</v>
      </c>
    </row>
    <row r="17" ht="12.75" hidden="1"/>
    <row r="18" spans="7:49" ht="35.25" customHeight="1">
      <c r="G18" s="753" t="s">
        <v>6</v>
      </c>
      <c r="H18" s="753" t="s">
        <v>0</v>
      </c>
      <c r="I18" s="753" t="s">
        <v>76</v>
      </c>
      <c r="J18" s="36" t="s">
        <v>314</v>
      </c>
      <c r="K18" s="770" t="s">
        <v>237</v>
      </c>
      <c r="L18" s="771"/>
      <c r="M18" s="768" t="s">
        <v>238</v>
      </c>
      <c r="N18" s="772"/>
      <c r="O18" s="770" t="s">
        <v>239</v>
      </c>
      <c r="P18" s="771"/>
      <c r="Q18" s="768" t="s">
        <v>240</v>
      </c>
      <c r="R18" s="769"/>
      <c r="S18" s="211"/>
      <c r="V18" s="750" t="s">
        <v>6</v>
      </c>
      <c r="W18" s="753" t="s">
        <v>0</v>
      </c>
      <c r="X18" s="753" t="s">
        <v>76</v>
      </c>
      <c r="Y18" s="36" t="str">
        <f>$J$18</f>
        <v>План на 2014 год</v>
      </c>
      <c r="Z18" s="750" t="s">
        <v>6</v>
      </c>
      <c r="AA18" s="753" t="s">
        <v>0</v>
      </c>
      <c r="AB18" s="753" t="s">
        <v>76</v>
      </c>
      <c r="AC18" s="36" t="str">
        <f>$J$18</f>
        <v>План на 2014 год</v>
      </c>
      <c r="AD18" s="750" t="s">
        <v>6</v>
      </c>
      <c r="AE18" s="753" t="s">
        <v>0</v>
      </c>
      <c r="AF18" s="753" t="s">
        <v>76</v>
      </c>
      <c r="AG18" s="36" t="str">
        <f>$J$18</f>
        <v>План на 2014 год</v>
      </c>
      <c r="AH18" s="750" t="s">
        <v>6</v>
      </c>
      <c r="AI18" s="753" t="s">
        <v>0</v>
      </c>
      <c r="AJ18" s="753" t="s">
        <v>76</v>
      </c>
      <c r="AK18" s="36" t="str">
        <f>$J$18</f>
        <v>План на 2014 год</v>
      </c>
      <c r="AL18" s="750" t="s">
        <v>6</v>
      </c>
      <c r="AM18" s="753" t="s">
        <v>0</v>
      </c>
      <c r="AN18" s="753" t="s">
        <v>76</v>
      </c>
      <c r="AO18" s="36" t="str">
        <f>$J$18</f>
        <v>План на 2014 год</v>
      </c>
      <c r="AP18" s="750" t="s">
        <v>6</v>
      </c>
      <c r="AQ18" s="753" t="s">
        <v>0</v>
      </c>
      <c r="AR18" s="753" t="s">
        <v>76</v>
      </c>
      <c r="AS18" s="36" t="str">
        <f>$J$18</f>
        <v>План на 2014 год</v>
      </c>
      <c r="AT18" s="750" t="s">
        <v>6</v>
      </c>
      <c r="AU18" s="753" t="s">
        <v>0</v>
      </c>
      <c r="AV18" s="753" t="s">
        <v>76</v>
      </c>
      <c r="AW18" s="36" t="str">
        <f>$J$18</f>
        <v>План на 2014 год</v>
      </c>
    </row>
    <row r="19" spans="7:104" ht="20.25" customHeight="1">
      <c r="G19" s="753"/>
      <c r="H19" s="753"/>
      <c r="I19" s="753"/>
      <c r="J19" s="754" t="s">
        <v>7</v>
      </c>
      <c r="K19" s="773" t="s">
        <v>7</v>
      </c>
      <c r="L19" s="774" t="s">
        <v>8</v>
      </c>
      <c r="M19" s="775" t="s">
        <v>7</v>
      </c>
      <c r="N19" s="766" t="s">
        <v>8</v>
      </c>
      <c r="O19" s="773" t="s">
        <v>7</v>
      </c>
      <c r="P19" s="774" t="s">
        <v>8</v>
      </c>
      <c r="Q19" s="775" t="s">
        <v>7</v>
      </c>
      <c r="R19" s="767" t="s">
        <v>8</v>
      </c>
      <c r="S19" s="213"/>
      <c r="V19" s="751"/>
      <c r="W19" s="753"/>
      <c r="X19" s="753"/>
      <c r="Y19" s="754" t="s">
        <v>7</v>
      </c>
      <c r="Z19" s="751"/>
      <c r="AA19" s="753"/>
      <c r="AB19" s="753"/>
      <c r="AC19" s="754" t="s">
        <v>7</v>
      </c>
      <c r="AD19" s="751"/>
      <c r="AE19" s="753"/>
      <c r="AF19" s="753"/>
      <c r="AG19" s="754" t="s">
        <v>7</v>
      </c>
      <c r="AH19" s="751"/>
      <c r="AI19" s="753"/>
      <c r="AJ19" s="753"/>
      <c r="AK19" s="754" t="s">
        <v>7</v>
      </c>
      <c r="AL19" s="751"/>
      <c r="AM19" s="753"/>
      <c r="AN19" s="753"/>
      <c r="AO19" s="754" t="s">
        <v>7</v>
      </c>
      <c r="AP19" s="751"/>
      <c r="AQ19" s="753"/>
      <c r="AR19" s="753"/>
      <c r="AS19" s="754" t="s">
        <v>7</v>
      </c>
      <c r="AT19" s="751"/>
      <c r="AU19" s="753"/>
      <c r="AV19" s="753"/>
      <c r="AW19" s="754" t="s">
        <v>7</v>
      </c>
      <c r="CZ19" s="29"/>
    </row>
    <row r="20" spans="7:49" ht="12.75" customHeight="1">
      <c r="G20" s="753"/>
      <c r="H20" s="753"/>
      <c r="I20" s="753"/>
      <c r="J20" s="754"/>
      <c r="K20" s="773"/>
      <c r="L20" s="774"/>
      <c r="M20" s="775"/>
      <c r="N20" s="766"/>
      <c r="O20" s="773"/>
      <c r="P20" s="774"/>
      <c r="Q20" s="775"/>
      <c r="R20" s="767"/>
      <c r="S20" s="213"/>
      <c r="V20" s="752"/>
      <c r="W20" s="753"/>
      <c r="X20" s="753"/>
      <c r="Y20" s="754"/>
      <c r="Z20" s="752"/>
      <c r="AA20" s="753"/>
      <c r="AB20" s="753"/>
      <c r="AC20" s="754"/>
      <c r="AD20" s="752"/>
      <c r="AE20" s="753"/>
      <c r="AF20" s="753"/>
      <c r="AG20" s="754"/>
      <c r="AH20" s="752"/>
      <c r="AI20" s="753"/>
      <c r="AJ20" s="753"/>
      <c r="AK20" s="754"/>
      <c r="AL20" s="752"/>
      <c r="AM20" s="753"/>
      <c r="AN20" s="753"/>
      <c r="AO20" s="754"/>
      <c r="AP20" s="752"/>
      <c r="AQ20" s="753"/>
      <c r="AR20" s="753"/>
      <c r="AS20" s="754"/>
      <c r="AT20" s="752"/>
      <c r="AU20" s="753"/>
      <c r="AV20" s="753"/>
      <c r="AW20" s="754"/>
    </row>
    <row r="21" spans="7:49" s="32" customFormat="1" ht="12.75" customHeight="1">
      <c r="G21" s="20"/>
      <c r="H21" s="84" t="s">
        <v>9</v>
      </c>
      <c r="I21" s="86" t="s">
        <v>11</v>
      </c>
      <c r="J21" s="334">
        <f>Y21+AC21+AG21+AK21+AO21+AS21+AW21</f>
        <v>7</v>
      </c>
      <c r="K21" s="170"/>
      <c r="L21" s="171"/>
      <c r="M21" s="172"/>
      <c r="N21" s="173"/>
      <c r="O21" s="174"/>
      <c r="P21" s="175"/>
      <c r="Q21" s="172"/>
      <c r="R21" s="176"/>
      <c r="S21" s="214"/>
      <c r="V21" s="20"/>
      <c r="W21" s="3" t="s">
        <v>9</v>
      </c>
      <c r="X21" s="2" t="s">
        <v>11</v>
      </c>
      <c r="Y21" s="4">
        <v>1</v>
      </c>
      <c r="Z21" s="20"/>
      <c r="AA21" s="3" t="s">
        <v>9</v>
      </c>
      <c r="AB21" s="2" t="s">
        <v>11</v>
      </c>
      <c r="AC21" s="4">
        <v>1</v>
      </c>
      <c r="AD21" s="20"/>
      <c r="AE21" s="3" t="s">
        <v>9</v>
      </c>
      <c r="AF21" s="2" t="s">
        <v>11</v>
      </c>
      <c r="AG21" s="4">
        <v>1</v>
      </c>
      <c r="AH21" s="20"/>
      <c r="AI21" s="3" t="s">
        <v>9</v>
      </c>
      <c r="AJ21" s="2" t="s">
        <v>11</v>
      </c>
      <c r="AK21" s="4">
        <v>1</v>
      </c>
      <c r="AL21" s="20"/>
      <c r="AM21" s="3" t="s">
        <v>9</v>
      </c>
      <c r="AN21" s="2" t="s">
        <v>11</v>
      </c>
      <c r="AO21" s="4">
        <v>1</v>
      </c>
      <c r="AP21" s="20"/>
      <c r="AQ21" s="3" t="s">
        <v>9</v>
      </c>
      <c r="AR21" s="2" t="s">
        <v>11</v>
      </c>
      <c r="AS21" s="4">
        <v>1</v>
      </c>
      <c r="AT21" s="20"/>
      <c r="AU21" s="3" t="s">
        <v>9</v>
      </c>
      <c r="AV21" s="2" t="s">
        <v>11</v>
      </c>
      <c r="AW21" s="4">
        <v>1</v>
      </c>
    </row>
    <row r="22" spans="7:49" s="32" customFormat="1" ht="18" customHeight="1">
      <c r="G22" s="20"/>
      <c r="H22" s="84" t="s">
        <v>12</v>
      </c>
      <c r="I22" s="86" t="s">
        <v>13</v>
      </c>
      <c r="J22" s="333">
        <f>Y22+AC22+AG22+AK22+AO22+AS22+AW22</f>
        <v>176.6865</v>
      </c>
      <c r="K22" s="170"/>
      <c r="L22" s="171"/>
      <c r="M22" s="172"/>
      <c r="N22" s="173"/>
      <c r="O22" s="174"/>
      <c r="P22" s="175"/>
      <c r="Q22" s="172"/>
      <c r="R22" s="176"/>
      <c r="S22" s="214"/>
      <c r="V22" s="20"/>
      <c r="W22" s="3" t="s">
        <v>12</v>
      </c>
      <c r="X22" s="2" t="s">
        <v>13</v>
      </c>
      <c r="Y22" s="22">
        <v>43.8426</v>
      </c>
      <c r="Z22" s="20"/>
      <c r="AA22" s="3" t="s">
        <v>12</v>
      </c>
      <c r="AB22" s="2" t="s">
        <v>13</v>
      </c>
      <c r="AC22" s="22">
        <v>14.6118</v>
      </c>
      <c r="AD22" s="20"/>
      <c r="AE22" s="3" t="s">
        <v>12</v>
      </c>
      <c r="AF22" s="2" t="s">
        <v>13</v>
      </c>
      <c r="AG22" s="22">
        <v>34.581</v>
      </c>
      <c r="AH22" s="20"/>
      <c r="AI22" s="3" t="s">
        <v>12</v>
      </c>
      <c r="AJ22" s="2" t="s">
        <v>13</v>
      </c>
      <c r="AK22" s="22">
        <v>28.6594</v>
      </c>
      <c r="AL22" s="20"/>
      <c r="AM22" s="3" t="s">
        <v>12</v>
      </c>
      <c r="AN22" s="2" t="s">
        <v>13</v>
      </c>
      <c r="AO22" s="22">
        <v>20.6692</v>
      </c>
      <c r="AP22" s="20"/>
      <c r="AQ22" s="3" t="s">
        <v>12</v>
      </c>
      <c r="AR22" s="2" t="s">
        <v>13</v>
      </c>
      <c r="AS22" s="22">
        <v>26.2977</v>
      </c>
      <c r="AT22" s="20"/>
      <c r="AU22" s="3" t="s">
        <v>12</v>
      </c>
      <c r="AV22" s="2" t="s">
        <v>13</v>
      </c>
      <c r="AW22" s="22">
        <v>8.0248</v>
      </c>
    </row>
    <row r="23" spans="7:49" s="32" customFormat="1" ht="12.75" customHeight="1">
      <c r="G23" s="20"/>
      <c r="H23" s="91" t="s">
        <v>14</v>
      </c>
      <c r="I23" s="86" t="s">
        <v>15</v>
      </c>
      <c r="J23" s="345">
        <f>Y23+AC23+AG23+AK23+AO23+AS23+AW23</f>
        <v>3529</v>
      </c>
      <c r="K23" s="170"/>
      <c r="L23" s="171"/>
      <c r="M23" s="172"/>
      <c r="N23" s="173"/>
      <c r="O23" s="174"/>
      <c r="P23" s="175"/>
      <c r="Q23" s="172"/>
      <c r="R23" s="176"/>
      <c r="S23" s="214"/>
      <c r="V23" s="20"/>
      <c r="W23" s="5" t="s">
        <v>14</v>
      </c>
      <c r="X23" s="2" t="s">
        <v>15</v>
      </c>
      <c r="Y23" s="4">
        <v>927</v>
      </c>
      <c r="Z23" s="20"/>
      <c r="AA23" s="5" t="s">
        <v>14</v>
      </c>
      <c r="AB23" s="2" t="s">
        <v>15</v>
      </c>
      <c r="AC23" s="4">
        <v>252</v>
      </c>
      <c r="AD23" s="20"/>
      <c r="AE23" s="5" t="s">
        <v>14</v>
      </c>
      <c r="AF23" s="2" t="s">
        <v>15</v>
      </c>
      <c r="AG23" s="4">
        <v>717</v>
      </c>
      <c r="AH23" s="20"/>
      <c r="AI23" s="5" t="s">
        <v>14</v>
      </c>
      <c r="AJ23" s="2" t="s">
        <v>15</v>
      </c>
      <c r="AK23" s="4">
        <v>614</v>
      </c>
      <c r="AL23" s="20"/>
      <c r="AM23" s="5" t="s">
        <v>14</v>
      </c>
      <c r="AN23" s="2" t="s">
        <v>15</v>
      </c>
      <c r="AO23" s="4">
        <v>358</v>
      </c>
      <c r="AP23" s="20"/>
      <c r="AQ23" s="5" t="s">
        <v>14</v>
      </c>
      <c r="AR23" s="2" t="s">
        <v>15</v>
      </c>
      <c r="AS23" s="4">
        <v>545</v>
      </c>
      <c r="AT23" s="20"/>
      <c r="AU23" s="5" t="s">
        <v>14</v>
      </c>
      <c r="AV23" s="2" t="s">
        <v>15</v>
      </c>
      <c r="AW23" s="4">
        <v>116</v>
      </c>
    </row>
    <row r="24" spans="7:49" s="32" customFormat="1" ht="15" customHeight="1">
      <c r="G24" s="20"/>
      <c r="H24" s="93" t="s">
        <v>334</v>
      </c>
      <c r="I24" s="86" t="s">
        <v>17</v>
      </c>
      <c r="J24" s="94"/>
      <c r="K24" s="170"/>
      <c r="L24" s="171"/>
      <c r="M24" s="172"/>
      <c r="N24" s="173"/>
      <c r="O24" s="174"/>
      <c r="P24" s="175"/>
      <c r="Q24" s="172"/>
      <c r="R24" s="176"/>
      <c r="S24" s="214"/>
      <c r="V24" s="20"/>
      <c r="W24" s="7" t="s">
        <v>16</v>
      </c>
      <c r="X24" s="2" t="s">
        <v>17</v>
      </c>
      <c r="Y24" s="6"/>
      <c r="Z24" s="20"/>
      <c r="AA24" s="7" t="s">
        <v>16</v>
      </c>
      <c r="AB24" s="2" t="s">
        <v>17</v>
      </c>
      <c r="AC24" s="248"/>
      <c r="AD24" s="20"/>
      <c r="AE24" s="7" t="s">
        <v>16</v>
      </c>
      <c r="AF24" s="2" t="s">
        <v>17</v>
      </c>
      <c r="AG24" s="6"/>
      <c r="AH24" s="20"/>
      <c r="AI24" s="7" t="s">
        <v>16</v>
      </c>
      <c r="AJ24" s="2" t="s">
        <v>17</v>
      </c>
      <c r="AK24" s="6"/>
      <c r="AL24" s="20"/>
      <c r="AM24" s="7" t="s">
        <v>16</v>
      </c>
      <c r="AN24" s="2" t="s">
        <v>17</v>
      </c>
      <c r="AO24" s="248"/>
      <c r="AP24" s="20"/>
      <c r="AQ24" s="7" t="s">
        <v>16</v>
      </c>
      <c r="AR24" s="2" t="s">
        <v>17</v>
      </c>
      <c r="AS24" s="248"/>
      <c r="AT24" s="20"/>
      <c r="AU24" s="7" t="s">
        <v>16</v>
      </c>
      <c r="AV24" s="2" t="s">
        <v>17</v>
      </c>
      <c r="AW24" s="248"/>
    </row>
    <row r="25" spans="7:49" s="32" customFormat="1" ht="15" customHeight="1">
      <c r="G25" s="20"/>
      <c r="H25" s="93" t="s">
        <v>18</v>
      </c>
      <c r="I25" s="85" t="s">
        <v>17</v>
      </c>
      <c r="J25" s="95"/>
      <c r="K25" s="170"/>
      <c r="L25" s="171"/>
      <c r="M25" s="172"/>
      <c r="N25" s="173"/>
      <c r="O25" s="174"/>
      <c r="P25" s="175"/>
      <c r="Q25" s="172"/>
      <c r="R25" s="176"/>
      <c r="S25" s="214"/>
      <c r="V25" s="20"/>
      <c r="W25" s="7" t="s">
        <v>18</v>
      </c>
      <c r="X25" s="11" t="s">
        <v>17</v>
      </c>
      <c r="Y25" s="9"/>
      <c r="Z25" s="20"/>
      <c r="AA25" s="7" t="s">
        <v>18</v>
      </c>
      <c r="AB25" s="11" t="s">
        <v>17</v>
      </c>
      <c r="AC25" s="249"/>
      <c r="AD25" s="20"/>
      <c r="AE25" s="7" t="s">
        <v>18</v>
      </c>
      <c r="AF25" s="11" t="s">
        <v>17</v>
      </c>
      <c r="AG25" s="9"/>
      <c r="AH25" s="20"/>
      <c r="AI25" s="7" t="s">
        <v>18</v>
      </c>
      <c r="AJ25" s="11" t="s">
        <v>17</v>
      </c>
      <c r="AK25" s="9"/>
      <c r="AL25" s="20"/>
      <c r="AM25" s="7" t="s">
        <v>18</v>
      </c>
      <c r="AN25" s="11" t="s">
        <v>17</v>
      </c>
      <c r="AO25" s="249"/>
      <c r="AP25" s="20"/>
      <c r="AQ25" s="7" t="s">
        <v>18</v>
      </c>
      <c r="AR25" s="11" t="s">
        <v>17</v>
      </c>
      <c r="AS25" s="249"/>
      <c r="AT25" s="20"/>
      <c r="AU25" s="7" t="s">
        <v>18</v>
      </c>
      <c r="AV25" s="11" t="s">
        <v>17</v>
      </c>
      <c r="AW25" s="249"/>
    </row>
    <row r="26" spans="4:49" s="32" customFormat="1" ht="12.75" customHeight="1">
      <c r="D26"/>
      <c r="G26" s="20"/>
      <c r="H26" s="84" t="s">
        <v>19</v>
      </c>
      <c r="I26" s="96"/>
      <c r="J26" s="88"/>
      <c r="K26" s="170"/>
      <c r="L26" s="171"/>
      <c r="M26" s="172"/>
      <c r="N26" s="173"/>
      <c r="O26" s="174"/>
      <c r="P26" s="175"/>
      <c r="Q26" s="172"/>
      <c r="R26" s="176"/>
      <c r="S26" s="214"/>
      <c r="V26" s="20"/>
      <c r="W26" s="3" t="s">
        <v>19</v>
      </c>
      <c r="X26" s="8"/>
      <c r="Y26" s="1"/>
      <c r="Z26" s="20"/>
      <c r="AA26" s="3" t="s">
        <v>19</v>
      </c>
      <c r="AB26" s="8"/>
      <c r="AC26" s="158"/>
      <c r="AD26" s="20"/>
      <c r="AE26" s="3" t="s">
        <v>19</v>
      </c>
      <c r="AF26" s="8"/>
      <c r="AG26" s="1"/>
      <c r="AH26" s="20"/>
      <c r="AI26" s="3" t="s">
        <v>19</v>
      </c>
      <c r="AJ26" s="8"/>
      <c r="AK26" s="1"/>
      <c r="AL26" s="20"/>
      <c r="AM26" s="3" t="s">
        <v>19</v>
      </c>
      <c r="AN26" s="8"/>
      <c r="AO26" s="158"/>
      <c r="AP26" s="20"/>
      <c r="AQ26" s="3" t="s">
        <v>19</v>
      </c>
      <c r="AR26" s="8"/>
      <c r="AS26" s="158"/>
      <c r="AT26" s="20"/>
      <c r="AU26" s="3" t="s">
        <v>19</v>
      </c>
      <c r="AV26" s="8"/>
      <c r="AW26" s="158"/>
    </row>
    <row r="27" spans="4:49" s="32" customFormat="1" ht="12.75" customHeight="1">
      <c r="D27"/>
      <c r="G27" s="20"/>
      <c r="H27" s="84"/>
      <c r="I27" s="96"/>
      <c r="J27" s="88"/>
      <c r="K27" s="170"/>
      <c r="L27" s="171"/>
      <c r="M27" s="172"/>
      <c r="N27" s="173"/>
      <c r="O27" s="174"/>
      <c r="P27" s="175"/>
      <c r="Q27" s="172"/>
      <c r="R27" s="176"/>
      <c r="S27" s="214"/>
      <c r="V27" s="20"/>
      <c r="W27" s="3"/>
      <c r="X27" s="8"/>
      <c r="Y27" s="1"/>
      <c r="Z27" s="20"/>
      <c r="AA27" s="3"/>
      <c r="AB27" s="8"/>
      <c r="AC27" s="158"/>
      <c r="AD27" s="20"/>
      <c r="AE27" s="3"/>
      <c r="AF27" s="8"/>
      <c r="AG27" s="1"/>
      <c r="AI27" s="3"/>
      <c r="AJ27" s="8"/>
      <c r="AK27" s="1"/>
      <c r="AL27" s="20"/>
      <c r="AM27" s="3"/>
      <c r="AN27" s="8"/>
      <c r="AO27" s="158"/>
      <c r="AP27" s="20"/>
      <c r="AQ27" s="3"/>
      <c r="AR27" s="8"/>
      <c r="AS27" s="158"/>
      <c r="AT27" s="20"/>
      <c r="AU27" s="3"/>
      <c r="AV27" s="8"/>
      <c r="AW27" s="158"/>
    </row>
    <row r="28" spans="1:49" s="32" customFormat="1" ht="18.75">
      <c r="A28" s="78"/>
      <c r="B28" s="372" t="s">
        <v>333</v>
      </c>
      <c r="C28" s="78"/>
      <c r="D28" s="35" t="s">
        <v>325</v>
      </c>
      <c r="E28" s="35" t="s">
        <v>326</v>
      </c>
      <c r="F28" s="35"/>
      <c r="G28" s="560" t="s">
        <v>394</v>
      </c>
      <c r="H28" s="372" t="s">
        <v>333</v>
      </c>
      <c r="I28" s="85"/>
      <c r="J28" s="88"/>
      <c r="K28" s="170"/>
      <c r="L28" s="171"/>
      <c r="M28" s="177"/>
      <c r="N28" s="178"/>
      <c r="O28" s="179"/>
      <c r="P28" s="180"/>
      <c r="Q28" s="177"/>
      <c r="R28" s="181"/>
      <c r="S28" s="215"/>
      <c r="T28" s="660"/>
      <c r="U28" s="660"/>
      <c r="V28" s="560" t="s">
        <v>394</v>
      </c>
      <c r="W28" s="372" t="s">
        <v>333</v>
      </c>
      <c r="X28" s="85"/>
      <c r="Y28" s="158"/>
      <c r="Z28" s="560" t="s">
        <v>394</v>
      </c>
      <c r="AA28" s="372" t="s">
        <v>333</v>
      </c>
      <c r="AB28" s="85"/>
      <c r="AC28" s="158"/>
      <c r="AD28" s="560" t="s">
        <v>394</v>
      </c>
      <c r="AE28" s="372" t="s">
        <v>333</v>
      </c>
      <c r="AF28" s="85"/>
      <c r="AG28" s="158"/>
      <c r="AH28" s="560" t="s">
        <v>394</v>
      </c>
      <c r="AI28" s="372" t="s">
        <v>333</v>
      </c>
      <c r="AJ28" s="85"/>
      <c r="AK28" s="1"/>
      <c r="AL28" s="560" t="s">
        <v>394</v>
      </c>
      <c r="AM28" s="372" t="s">
        <v>333</v>
      </c>
      <c r="AN28" s="85"/>
      <c r="AO28" s="158"/>
      <c r="AP28" s="560" t="s">
        <v>394</v>
      </c>
      <c r="AQ28" s="372" t="s">
        <v>333</v>
      </c>
      <c r="AR28" s="85"/>
      <c r="AS28" s="158"/>
      <c r="AT28" s="560" t="s">
        <v>394</v>
      </c>
      <c r="AU28" s="372" t="s">
        <v>333</v>
      </c>
      <c r="AV28" s="85"/>
      <c r="AW28" s="158"/>
    </row>
    <row r="29" spans="1:49" s="32" customFormat="1" ht="15.75">
      <c r="A29" s="78"/>
      <c r="B29" s="338" t="s">
        <v>322</v>
      </c>
      <c r="C29" s="338" t="s">
        <v>13</v>
      </c>
      <c r="D29" s="503">
        <v>509</v>
      </c>
      <c r="E29" s="503">
        <v>509</v>
      </c>
      <c r="F29"/>
      <c r="G29" s="83" t="s">
        <v>217</v>
      </c>
      <c r="H29" s="338" t="s">
        <v>322</v>
      </c>
      <c r="I29" s="85" t="s">
        <v>13</v>
      </c>
      <c r="J29" s="333">
        <f aca="true" t="shared" si="0" ref="J29:J47">Y29+AC29+AG29+AK29+AO29+AS29+AW29</f>
        <v>0.079</v>
      </c>
      <c r="K29" s="174"/>
      <c r="L29" s="175"/>
      <c r="M29" s="183">
        <v>0.017</v>
      </c>
      <c r="N29" s="184" t="e">
        <f>M29/$J29*#REF!</f>
        <v>#REF!</v>
      </c>
      <c r="O29" s="185">
        <v>0.017</v>
      </c>
      <c r="P29" s="186" t="e">
        <f>O29/$J29*#REF!</f>
        <v>#REF!</v>
      </c>
      <c r="Q29" s="183"/>
      <c r="R29" s="187"/>
      <c r="S29" s="223">
        <f>K29+M29+O29+Q29</f>
        <v>0.034</v>
      </c>
      <c r="T29" s="661" t="e">
        <f>L29+N29+P29+R29</f>
        <v>#REF!</v>
      </c>
      <c r="U29" s="661" t="e">
        <f>#REF!-T29</f>
        <v>#REF!</v>
      </c>
      <c r="V29" s="83" t="s">
        <v>217</v>
      </c>
      <c r="W29" s="338" t="s">
        <v>322</v>
      </c>
      <c r="X29" s="85" t="s">
        <v>13</v>
      </c>
      <c r="Y29" s="158">
        <v>0.013</v>
      </c>
      <c r="Z29" s="83" t="s">
        <v>217</v>
      </c>
      <c r="AA29" s="338" t="s">
        <v>322</v>
      </c>
      <c r="AB29" s="85" t="s">
        <v>13</v>
      </c>
      <c r="AC29" s="158"/>
      <c r="AD29" s="83" t="s">
        <v>217</v>
      </c>
      <c r="AE29" s="338" t="s">
        <v>322</v>
      </c>
      <c r="AF29" s="85" t="s">
        <v>13</v>
      </c>
      <c r="AG29" s="206">
        <v>0.01</v>
      </c>
      <c r="AH29" s="83" t="s">
        <v>217</v>
      </c>
      <c r="AI29" s="338" t="s">
        <v>322</v>
      </c>
      <c r="AJ29" s="85" t="s">
        <v>13</v>
      </c>
      <c r="AK29" s="206">
        <v>0.01</v>
      </c>
      <c r="AL29" s="83" t="s">
        <v>217</v>
      </c>
      <c r="AM29" s="338" t="s">
        <v>322</v>
      </c>
      <c r="AN29" s="85" t="s">
        <v>13</v>
      </c>
      <c r="AO29" s="158"/>
      <c r="AP29" s="83" t="s">
        <v>217</v>
      </c>
      <c r="AQ29" s="338" t="s">
        <v>322</v>
      </c>
      <c r="AR29" s="85" t="s">
        <v>13</v>
      </c>
      <c r="AS29" s="158">
        <f>0.016+0.03</f>
        <v>0.046</v>
      </c>
      <c r="AT29" s="83" t="s">
        <v>217</v>
      </c>
      <c r="AU29" s="338" t="s">
        <v>322</v>
      </c>
      <c r="AV29" s="85" t="s">
        <v>13</v>
      </c>
      <c r="AW29" s="158"/>
    </row>
    <row r="30" spans="1:49" s="32" customFormat="1" ht="18.75" customHeight="1">
      <c r="A30" s="78"/>
      <c r="B30" s="338" t="s">
        <v>337</v>
      </c>
      <c r="C30" s="338" t="s">
        <v>13</v>
      </c>
      <c r="D30" s="503">
        <v>656</v>
      </c>
      <c r="E30" s="503">
        <v>656</v>
      </c>
      <c r="F30"/>
      <c r="G30" s="83" t="s">
        <v>156</v>
      </c>
      <c r="H30" s="338" t="s">
        <v>337</v>
      </c>
      <c r="I30" s="85" t="s">
        <v>13</v>
      </c>
      <c r="J30" s="333">
        <f t="shared" si="0"/>
        <v>0.394</v>
      </c>
      <c r="K30" s="174"/>
      <c r="L30" s="175"/>
      <c r="M30" s="188">
        <f>J30</f>
        <v>0.394</v>
      </c>
      <c r="N30" s="184"/>
      <c r="O30" s="185"/>
      <c r="P30" s="186"/>
      <c r="Q30" s="183"/>
      <c r="R30" s="187"/>
      <c r="S30" s="223">
        <f aca="true" t="shared" si="1" ref="S30:T50">K30+M30+O30+Q30</f>
        <v>0.394</v>
      </c>
      <c r="T30" s="661">
        <f t="shared" si="1"/>
        <v>0</v>
      </c>
      <c r="U30" s="661" t="e">
        <f>#REF!-T30</f>
        <v>#REF!</v>
      </c>
      <c r="V30" s="83" t="s">
        <v>156</v>
      </c>
      <c r="W30" s="338" t="s">
        <v>337</v>
      </c>
      <c r="X30" s="85" t="s">
        <v>13</v>
      </c>
      <c r="Y30" s="158"/>
      <c r="Z30" s="83" t="s">
        <v>156</v>
      </c>
      <c r="AA30" s="338" t="s">
        <v>337</v>
      </c>
      <c r="AB30" s="85" t="s">
        <v>13</v>
      </c>
      <c r="AC30" s="158"/>
      <c r="AD30" s="83" t="s">
        <v>156</v>
      </c>
      <c r="AE30" s="338" t="s">
        <v>337</v>
      </c>
      <c r="AF30" s="85" t="s">
        <v>13</v>
      </c>
      <c r="AG30" s="158">
        <v>0.384</v>
      </c>
      <c r="AH30" s="83" t="s">
        <v>156</v>
      </c>
      <c r="AI30" s="338" t="s">
        <v>337</v>
      </c>
      <c r="AJ30" s="85" t="s">
        <v>13</v>
      </c>
      <c r="AK30" s="158"/>
      <c r="AL30" s="83" t="s">
        <v>156</v>
      </c>
      <c r="AM30" s="338" t="s">
        <v>337</v>
      </c>
      <c r="AN30" s="85" t="s">
        <v>13</v>
      </c>
      <c r="AO30" s="158"/>
      <c r="AP30" s="83" t="s">
        <v>156</v>
      </c>
      <c r="AQ30" s="338" t="s">
        <v>337</v>
      </c>
      <c r="AR30" s="85" t="s">
        <v>13</v>
      </c>
      <c r="AS30" s="158"/>
      <c r="AT30" s="83" t="s">
        <v>156</v>
      </c>
      <c r="AU30" s="338" t="s">
        <v>337</v>
      </c>
      <c r="AV30" s="85" t="s">
        <v>13</v>
      </c>
      <c r="AW30" s="206">
        <v>0.01</v>
      </c>
    </row>
    <row r="31" spans="1:49" s="32" customFormat="1" ht="15.75" hidden="1">
      <c r="A31" s="129"/>
      <c r="B31" s="371" t="s">
        <v>152</v>
      </c>
      <c r="C31" s="371" t="s">
        <v>10</v>
      </c>
      <c r="D31" s="130"/>
      <c r="E31" s="130"/>
      <c r="F31"/>
      <c r="G31" s="131" t="s">
        <v>157</v>
      </c>
      <c r="H31" s="371" t="s">
        <v>152</v>
      </c>
      <c r="I31" s="279" t="s">
        <v>10</v>
      </c>
      <c r="J31" s="333">
        <f t="shared" si="0"/>
        <v>0</v>
      </c>
      <c r="K31" s="174"/>
      <c r="L31" s="175"/>
      <c r="M31" s="183"/>
      <c r="N31" s="184"/>
      <c r="O31" s="185"/>
      <c r="P31" s="186"/>
      <c r="Q31" s="183"/>
      <c r="R31" s="187"/>
      <c r="S31" s="223">
        <f t="shared" si="1"/>
        <v>0</v>
      </c>
      <c r="T31" s="661">
        <f t="shared" si="1"/>
        <v>0</v>
      </c>
      <c r="U31" s="661" t="e">
        <f>#REF!-T31</f>
        <v>#REF!</v>
      </c>
      <c r="V31" s="131" t="s">
        <v>157</v>
      </c>
      <c r="W31" s="371" t="s">
        <v>152</v>
      </c>
      <c r="X31" s="279" t="s">
        <v>10</v>
      </c>
      <c r="Y31" s="158"/>
      <c r="Z31" s="131" t="s">
        <v>157</v>
      </c>
      <c r="AA31" s="371" t="s">
        <v>152</v>
      </c>
      <c r="AB31" s="279" t="s">
        <v>10</v>
      </c>
      <c r="AC31" s="158"/>
      <c r="AD31" s="131" t="s">
        <v>157</v>
      </c>
      <c r="AE31" s="371" t="s">
        <v>152</v>
      </c>
      <c r="AF31" s="279" t="s">
        <v>10</v>
      </c>
      <c r="AG31" s="158"/>
      <c r="AH31" s="131" t="s">
        <v>157</v>
      </c>
      <c r="AI31" s="371" t="s">
        <v>152</v>
      </c>
      <c r="AJ31" s="279" t="s">
        <v>10</v>
      </c>
      <c r="AK31" s="158"/>
      <c r="AL31" s="131" t="s">
        <v>157</v>
      </c>
      <c r="AM31" s="371" t="s">
        <v>152</v>
      </c>
      <c r="AN31" s="279" t="s">
        <v>10</v>
      </c>
      <c r="AO31" s="158"/>
      <c r="AP31" s="131" t="s">
        <v>157</v>
      </c>
      <c r="AQ31" s="371" t="s">
        <v>152</v>
      </c>
      <c r="AR31" s="279" t="s">
        <v>10</v>
      </c>
      <c r="AS31" s="158"/>
      <c r="AT31" s="131" t="s">
        <v>157</v>
      </c>
      <c r="AU31" s="371" t="s">
        <v>152</v>
      </c>
      <c r="AV31" s="279" t="s">
        <v>10</v>
      </c>
      <c r="AW31" s="158"/>
    </row>
    <row r="32" spans="1:49" s="32" customFormat="1" ht="30" customHeight="1">
      <c r="A32" s="78"/>
      <c r="B32" s="356" t="s">
        <v>338</v>
      </c>
      <c r="C32" s="338" t="s">
        <v>23</v>
      </c>
      <c r="D32" s="510">
        <v>2.28</v>
      </c>
      <c r="E32" s="510">
        <v>2.28</v>
      </c>
      <c r="F32"/>
      <c r="G32" s="83" t="s">
        <v>158</v>
      </c>
      <c r="H32" s="637" t="s">
        <v>338</v>
      </c>
      <c r="I32" s="85" t="s">
        <v>23</v>
      </c>
      <c r="J32" s="334">
        <f t="shared" si="0"/>
        <v>208</v>
      </c>
      <c r="K32" s="174">
        <v>45</v>
      </c>
      <c r="L32" s="175" t="e">
        <f>K32/$J32*#REF!</f>
        <v>#REF!</v>
      </c>
      <c r="M32" s="183">
        <v>60</v>
      </c>
      <c r="N32" s="184" t="e">
        <f>M32/$J32*#REF!-35-60+15</f>
        <v>#REF!</v>
      </c>
      <c r="O32" s="185">
        <v>60</v>
      </c>
      <c r="P32" s="186" t="e">
        <f>O32/$J32*#REF!-38.2</f>
        <v>#REF!</v>
      </c>
      <c r="Q32" s="183">
        <v>43</v>
      </c>
      <c r="R32" s="187" t="e">
        <f>Q32/$J32*#REF!+35+10+60+38.2-10-15</f>
        <v>#REF!</v>
      </c>
      <c r="S32" s="223">
        <f t="shared" si="1"/>
        <v>208</v>
      </c>
      <c r="T32" s="661" t="e">
        <f t="shared" si="1"/>
        <v>#REF!</v>
      </c>
      <c r="U32" s="661" t="e">
        <f>#REF!-T32</f>
        <v>#REF!</v>
      </c>
      <c r="V32" s="83" t="s">
        <v>158</v>
      </c>
      <c r="W32" s="356" t="s">
        <v>338</v>
      </c>
      <c r="X32" s="85" t="s">
        <v>23</v>
      </c>
      <c r="Y32" s="158">
        <v>62</v>
      </c>
      <c r="Z32" s="83" t="s">
        <v>158</v>
      </c>
      <c r="AA32" s="356" t="s">
        <v>338</v>
      </c>
      <c r="AB32" s="85" t="s">
        <v>23</v>
      </c>
      <c r="AC32" s="158">
        <v>7</v>
      </c>
      <c r="AD32" s="83" t="s">
        <v>158</v>
      </c>
      <c r="AE32" s="356" t="s">
        <v>338</v>
      </c>
      <c r="AF32" s="85" t="s">
        <v>23</v>
      </c>
      <c r="AG32" s="158">
        <v>48</v>
      </c>
      <c r="AH32" s="83" t="s">
        <v>158</v>
      </c>
      <c r="AI32" s="356" t="s">
        <v>338</v>
      </c>
      <c r="AJ32" s="85" t="s">
        <v>23</v>
      </c>
      <c r="AK32" s="158">
        <v>40</v>
      </c>
      <c r="AL32" s="83" t="s">
        <v>158</v>
      </c>
      <c r="AM32" s="356" t="s">
        <v>338</v>
      </c>
      <c r="AN32" s="85" t="s">
        <v>23</v>
      </c>
      <c r="AO32" s="158">
        <v>10</v>
      </c>
      <c r="AP32" s="83" t="s">
        <v>158</v>
      </c>
      <c r="AQ32" s="356" t="s">
        <v>338</v>
      </c>
      <c r="AR32" s="85" t="s">
        <v>23</v>
      </c>
      <c r="AS32" s="158">
        <v>38</v>
      </c>
      <c r="AT32" s="83" t="s">
        <v>158</v>
      </c>
      <c r="AU32" s="356" t="s">
        <v>338</v>
      </c>
      <c r="AV32" s="85" t="s">
        <v>23</v>
      </c>
      <c r="AW32" s="158">
        <v>3</v>
      </c>
    </row>
    <row r="33" spans="1:49" s="32" customFormat="1" ht="15.75">
      <c r="A33" s="78"/>
      <c r="B33" s="84" t="s">
        <v>318</v>
      </c>
      <c r="C33" s="338" t="s">
        <v>15</v>
      </c>
      <c r="D33" s="100">
        <v>0</v>
      </c>
      <c r="E33" s="100">
        <v>0</v>
      </c>
      <c r="F33"/>
      <c r="G33" s="83" t="s">
        <v>159</v>
      </c>
      <c r="H33" s="84" t="s">
        <v>318</v>
      </c>
      <c r="I33" s="85" t="s">
        <v>15</v>
      </c>
      <c r="J33" s="334">
        <f t="shared" si="0"/>
        <v>0</v>
      </c>
      <c r="K33" s="174"/>
      <c r="L33" s="175"/>
      <c r="M33" s="183"/>
      <c r="N33" s="184"/>
      <c r="O33" s="185"/>
      <c r="P33" s="186"/>
      <c r="Q33" s="183"/>
      <c r="R33" s="187"/>
      <c r="S33" s="223"/>
      <c r="T33" s="661"/>
      <c r="U33" s="661"/>
      <c r="V33" s="83" t="s">
        <v>159</v>
      </c>
      <c r="W33" s="84" t="s">
        <v>318</v>
      </c>
      <c r="X33" s="85" t="s">
        <v>15</v>
      </c>
      <c r="Y33" s="159"/>
      <c r="Z33" s="83" t="s">
        <v>159</v>
      </c>
      <c r="AA33" s="84" t="s">
        <v>318</v>
      </c>
      <c r="AB33" s="85" t="s">
        <v>15</v>
      </c>
      <c r="AC33" s="158"/>
      <c r="AD33" s="83" t="s">
        <v>159</v>
      </c>
      <c r="AE33" s="84" t="s">
        <v>318</v>
      </c>
      <c r="AF33" s="85" t="s">
        <v>15</v>
      </c>
      <c r="AG33" s="158"/>
      <c r="AH33" s="83" t="s">
        <v>159</v>
      </c>
      <c r="AI33" s="84" t="s">
        <v>318</v>
      </c>
      <c r="AJ33" s="85" t="s">
        <v>15</v>
      </c>
      <c r="AK33" s="158"/>
      <c r="AL33" s="83" t="s">
        <v>159</v>
      </c>
      <c r="AM33" s="84" t="s">
        <v>318</v>
      </c>
      <c r="AN33" s="85" t="s">
        <v>15</v>
      </c>
      <c r="AO33" s="158"/>
      <c r="AP33" s="83" t="s">
        <v>159</v>
      </c>
      <c r="AQ33" s="84" t="s">
        <v>318</v>
      </c>
      <c r="AR33" s="85" t="s">
        <v>15</v>
      </c>
      <c r="AS33" s="158"/>
      <c r="AT33" s="83" t="s">
        <v>159</v>
      </c>
      <c r="AU33" s="84" t="s">
        <v>318</v>
      </c>
      <c r="AV33" s="85" t="s">
        <v>15</v>
      </c>
      <c r="AW33" s="158"/>
    </row>
    <row r="34" spans="1:49" s="32" customFormat="1" ht="15.75">
      <c r="A34" s="78"/>
      <c r="B34" s="338" t="s">
        <v>21</v>
      </c>
      <c r="C34" s="338" t="s">
        <v>13</v>
      </c>
      <c r="D34" s="510">
        <v>0.187</v>
      </c>
      <c r="E34" s="510">
        <v>0.187</v>
      </c>
      <c r="F34"/>
      <c r="G34" s="83" t="s">
        <v>160</v>
      </c>
      <c r="H34" s="338" t="s">
        <v>21</v>
      </c>
      <c r="I34" s="85" t="s">
        <v>15</v>
      </c>
      <c r="J34" s="334">
        <f t="shared" si="0"/>
        <v>10</v>
      </c>
      <c r="K34" s="174"/>
      <c r="L34" s="175"/>
      <c r="M34" s="183"/>
      <c r="N34" s="184"/>
      <c r="O34" s="185"/>
      <c r="P34" s="186"/>
      <c r="Q34" s="183">
        <v>5</v>
      </c>
      <c r="R34" s="187" t="e">
        <f>Q34/$J34*#REF!</f>
        <v>#REF!</v>
      </c>
      <c r="S34" s="223">
        <f t="shared" si="1"/>
        <v>5</v>
      </c>
      <c r="T34" s="661" t="e">
        <f t="shared" si="1"/>
        <v>#REF!</v>
      </c>
      <c r="U34" s="661" t="e">
        <f>#REF!-T34</f>
        <v>#REF!</v>
      </c>
      <c r="V34" s="83" t="s">
        <v>160</v>
      </c>
      <c r="W34" s="338" t="s">
        <v>21</v>
      </c>
      <c r="X34" s="85" t="s">
        <v>15</v>
      </c>
      <c r="Y34" s="158">
        <v>2</v>
      </c>
      <c r="Z34" s="83" t="s">
        <v>160</v>
      </c>
      <c r="AA34" s="338" t="s">
        <v>21</v>
      </c>
      <c r="AB34" s="85" t="s">
        <v>15</v>
      </c>
      <c r="AC34" s="158"/>
      <c r="AD34" s="83" t="s">
        <v>160</v>
      </c>
      <c r="AE34" s="338" t="s">
        <v>21</v>
      </c>
      <c r="AF34" s="85" t="s">
        <v>15</v>
      </c>
      <c r="AG34" s="158">
        <v>3</v>
      </c>
      <c r="AH34" s="83" t="s">
        <v>160</v>
      </c>
      <c r="AI34" s="338" t="s">
        <v>21</v>
      </c>
      <c r="AJ34" s="85" t="s">
        <v>15</v>
      </c>
      <c r="AK34" s="158">
        <v>3</v>
      </c>
      <c r="AL34" s="83" t="s">
        <v>160</v>
      </c>
      <c r="AM34" s="338" t="s">
        <v>21</v>
      </c>
      <c r="AN34" s="85" t="s">
        <v>15</v>
      </c>
      <c r="AO34" s="158"/>
      <c r="AP34" s="83" t="s">
        <v>160</v>
      </c>
      <c r="AQ34" s="338" t="s">
        <v>21</v>
      </c>
      <c r="AR34" s="85" t="s">
        <v>15</v>
      </c>
      <c r="AS34" s="158">
        <v>1</v>
      </c>
      <c r="AT34" s="83" t="s">
        <v>160</v>
      </c>
      <c r="AU34" s="338" t="s">
        <v>21</v>
      </c>
      <c r="AV34" s="85" t="s">
        <v>15</v>
      </c>
      <c r="AW34" s="158">
        <v>1</v>
      </c>
    </row>
    <row r="35" spans="1:49" s="32" customFormat="1" ht="15.75">
      <c r="A35" s="516"/>
      <c r="B35" s="504" t="s">
        <v>339</v>
      </c>
      <c r="C35" s="504" t="s">
        <v>22</v>
      </c>
      <c r="D35" s="512">
        <v>425.05100000000004</v>
      </c>
      <c r="E35" s="512">
        <v>425.05100000000004</v>
      </c>
      <c r="F35"/>
      <c r="G35" s="83" t="s">
        <v>161</v>
      </c>
      <c r="H35" s="338" t="s">
        <v>339</v>
      </c>
      <c r="I35" s="85" t="s">
        <v>22</v>
      </c>
      <c r="J35" s="333">
        <f t="shared" si="0"/>
        <v>1.84399</v>
      </c>
      <c r="K35" s="174"/>
      <c r="L35" s="175"/>
      <c r="M35" s="183">
        <f>J35/2</f>
        <v>0.921995</v>
      </c>
      <c r="N35" s="184" t="e">
        <f>M35/$J35*#REF!-50</f>
        <v>#REF!</v>
      </c>
      <c r="O35" s="185">
        <f>J35/2</f>
        <v>0.921995</v>
      </c>
      <c r="P35" s="186" t="e">
        <f>O35/$J35*#REF!+50</f>
        <v>#REF!</v>
      </c>
      <c r="Q35" s="183"/>
      <c r="R35" s="187"/>
      <c r="S35" s="223">
        <f t="shared" si="1"/>
        <v>1.84399</v>
      </c>
      <c r="T35" s="661" t="e">
        <f t="shared" si="1"/>
        <v>#REF!</v>
      </c>
      <c r="U35" s="661" t="e">
        <f>#REF!-T35</f>
        <v>#REF!</v>
      </c>
      <c r="V35" s="83" t="s">
        <v>161</v>
      </c>
      <c r="W35" s="338" t="s">
        <v>339</v>
      </c>
      <c r="X35" s="85" t="s">
        <v>22</v>
      </c>
      <c r="Y35" s="206">
        <v>0.05</v>
      </c>
      <c r="Z35" s="83" t="s">
        <v>161</v>
      </c>
      <c r="AA35" s="338" t="s">
        <v>339</v>
      </c>
      <c r="AB35" s="85" t="s">
        <v>22</v>
      </c>
      <c r="AC35" s="206">
        <f>0.3+0.3+0.24</f>
        <v>0.84</v>
      </c>
      <c r="AD35" s="83" t="s">
        <v>161</v>
      </c>
      <c r="AE35" s="338" t="s">
        <v>339</v>
      </c>
      <c r="AF35" s="85" t="s">
        <v>22</v>
      </c>
      <c r="AG35" s="206">
        <v>0.07</v>
      </c>
      <c r="AH35" s="83" t="s">
        <v>161</v>
      </c>
      <c r="AI35" s="338" t="s">
        <v>339</v>
      </c>
      <c r="AJ35" s="85" t="s">
        <v>22</v>
      </c>
      <c r="AK35" s="206">
        <v>0.05</v>
      </c>
      <c r="AL35" s="83" t="s">
        <v>161</v>
      </c>
      <c r="AM35" s="338" t="s">
        <v>339</v>
      </c>
      <c r="AN35" s="85" t="s">
        <v>22</v>
      </c>
      <c r="AO35" s="206">
        <f>0.48+0.222+0.05199</f>
        <v>0.7539899999999999</v>
      </c>
      <c r="AP35" s="83" t="s">
        <v>161</v>
      </c>
      <c r="AQ35" s="338" t="s">
        <v>339</v>
      </c>
      <c r="AR35" s="85" t="s">
        <v>22</v>
      </c>
      <c r="AS35" s="206">
        <f>0.028+0.032+0.02</f>
        <v>0.08</v>
      </c>
      <c r="AT35" s="83" t="s">
        <v>161</v>
      </c>
      <c r="AU35" s="338" t="s">
        <v>339</v>
      </c>
      <c r="AV35" s="85" t="s">
        <v>22</v>
      </c>
      <c r="AW35" s="158"/>
    </row>
    <row r="36" spans="1:49" s="32" customFormat="1" ht="15.75" hidden="1">
      <c r="A36" s="516"/>
      <c r="B36" s="504" t="s">
        <v>335</v>
      </c>
      <c r="C36" s="504" t="s">
        <v>13</v>
      </c>
      <c r="D36" s="512">
        <v>1566</v>
      </c>
      <c r="E36" s="512">
        <v>1566</v>
      </c>
      <c r="F36"/>
      <c r="G36" s="83" t="s">
        <v>162</v>
      </c>
      <c r="H36" s="338" t="s">
        <v>335</v>
      </c>
      <c r="I36" s="85" t="s">
        <v>13</v>
      </c>
      <c r="J36" s="333">
        <f t="shared" si="0"/>
        <v>0</v>
      </c>
      <c r="K36" s="174"/>
      <c r="L36" s="175"/>
      <c r="M36" s="183"/>
      <c r="N36" s="184"/>
      <c r="O36" s="185">
        <v>0.015</v>
      </c>
      <c r="P36" s="186" t="e">
        <f>O36/$J36*#REF!</f>
        <v>#DIV/0!</v>
      </c>
      <c r="Q36" s="183"/>
      <c r="R36" s="187"/>
      <c r="S36" s="223">
        <f t="shared" si="1"/>
        <v>0.015</v>
      </c>
      <c r="T36" s="661" t="e">
        <f t="shared" si="1"/>
        <v>#DIV/0!</v>
      </c>
      <c r="U36" s="661" t="e">
        <f>#REF!-T36</f>
        <v>#REF!</v>
      </c>
      <c r="V36" s="83" t="s">
        <v>162</v>
      </c>
      <c r="W36" s="338" t="s">
        <v>335</v>
      </c>
      <c r="X36" s="85" t="s">
        <v>13</v>
      </c>
      <c r="Y36" s="206">
        <f>0.03*0</f>
        <v>0</v>
      </c>
      <c r="Z36" s="83" t="s">
        <v>162</v>
      </c>
      <c r="AA36" s="338" t="s">
        <v>335</v>
      </c>
      <c r="AB36" s="85" t="s">
        <v>13</v>
      </c>
      <c r="AC36" s="158"/>
      <c r="AD36" s="83" t="s">
        <v>162</v>
      </c>
      <c r="AE36" s="338" t="s">
        <v>335</v>
      </c>
      <c r="AF36" s="85" t="s">
        <v>13</v>
      </c>
      <c r="AG36" s="158"/>
      <c r="AH36" s="83" t="s">
        <v>162</v>
      </c>
      <c r="AI36" s="338" t="s">
        <v>335</v>
      </c>
      <c r="AJ36" s="85" t="s">
        <v>13</v>
      </c>
      <c r="AK36" s="158"/>
      <c r="AL36" s="83" t="s">
        <v>162</v>
      </c>
      <c r="AM36" s="338" t="s">
        <v>335</v>
      </c>
      <c r="AN36" s="85" t="s">
        <v>13</v>
      </c>
      <c r="AO36" s="158"/>
      <c r="AP36" s="83" t="s">
        <v>162</v>
      </c>
      <c r="AQ36" s="338" t="s">
        <v>335</v>
      </c>
      <c r="AR36" s="85" t="s">
        <v>13</v>
      </c>
      <c r="AS36" s="158"/>
      <c r="AT36" s="83" t="s">
        <v>162</v>
      </c>
      <c r="AU36" s="338" t="s">
        <v>335</v>
      </c>
      <c r="AV36" s="85" t="s">
        <v>13</v>
      </c>
      <c r="AW36" s="158"/>
    </row>
    <row r="37" spans="1:49" s="32" customFormat="1" ht="15.75" hidden="1">
      <c r="A37" s="516"/>
      <c r="B37" s="504" t="s">
        <v>208</v>
      </c>
      <c r="C37" s="504" t="s">
        <v>13</v>
      </c>
      <c r="D37" s="512">
        <v>2115</v>
      </c>
      <c r="E37" s="512">
        <v>2115</v>
      </c>
      <c r="F37"/>
      <c r="G37" s="83" t="s">
        <v>163</v>
      </c>
      <c r="H37" s="338" t="s">
        <v>208</v>
      </c>
      <c r="I37" s="85" t="s">
        <v>13</v>
      </c>
      <c r="J37" s="333">
        <f t="shared" si="0"/>
        <v>0</v>
      </c>
      <c r="K37" s="174"/>
      <c r="L37" s="175"/>
      <c r="M37" s="183"/>
      <c r="N37" s="184"/>
      <c r="O37" s="185"/>
      <c r="P37" s="186"/>
      <c r="Q37" s="183"/>
      <c r="R37" s="187"/>
      <c r="S37" s="223">
        <f t="shared" si="1"/>
        <v>0</v>
      </c>
      <c r="T37" s="661">
        <f t="shared" si="1"/>
        <v>0</v>
      </c>
      <c r="U37" s="661" t="e">
        <f>#REF!-T37</f>
        <v>#REF!</v>
      </c>
      <c r="V37" s="83" t="s">
        <v>163</v>
      </c>
      <c r="W37" s="338" t="s">
        <v>208</v>
      </c>
      <c r="X37" s="85" t="s">
        <v>13</v>
      </c>
      <c r="Y37" s="206"/>
      <c r="Z37" s="83" t="s">
        <v>163</v>
      </c>
      <c r="AA37" s="338" t="s">
        <v>208</v>
      </c>
      <c r="AB37" s="85" t="s">
        <v>13</v>
      </c>
      <c r="AC37" s="158"/>
      <c r="AD37" s="83" t="s">
        <v>163</v>
      </c>
      <c r="AE37" s="338" t="s">
        <v>208</v>
      </c>
      <c r="AF37" s="85" t="s">
        <v>13</v>
      </c>
      <c r="AG37" s="158"/>
      <c r="AH37" s="83" t="s">
        <v>163</v>
      </c>
      <c r="AI37" s="338" t="s">
        <v>208</v>
      </c>
      <c r="AJ37" s="85" t="s">
        <v>13</v>
      </c>
      <c r="AK37" s="158"/>
      <c r="AL37" s="83" t="s">
        <v>163</v>
      </c>
      <c r="AM37" s="338" t="s">
        <v>208</v>
      </c>
      <c r="AN37" s="85" t="s">
        <v>13</v>
      </c>
      <c r="AO37" s="158"/>
      <c r="AP37" s="83" t="s">
        <v>163</v>
      </c>
      <c r="AQ37" s="338" t="s">
        <v>208</v>
      </c>
      <c r="AR37" s="85" t="s">
        <v>13</v>
      </c>
      <c r="AS37" s="374"/>
      <c r="AT37" s="83" t="s">
        <v>163</v>
      </c>
      <c r="AU37" s="338" t="s">
        <v>208</v>
      </c>
      <c r="AV37" s="85" t="s">
        <v>13</v>
      </c>
      <c r="AW37" s="158"/>
    </row>
    <row r="38" spans="1:49" s="32" customFormat="1" ht="15.75" hidden="1">
      <c r="A38" s="78"/>
      <c r="B38" s="338" t="s">
        <v>209</v>
      </c>
      <c r="C38" s="338" t="s">
        <v>23</v>
      </c>
      <c r="D38" s="510">
        <v>2.779</v>
      </c>
      <c r="E38" s="510">
        <v>2.572</v>
      </c>
      <c r="F38"/>
      <c r="G38" s="83" t="s">
        <v>88</v>
      </c>
      <c r="H38" s="338" t="s">
        <v>209</v>
      </c>
      <c r="I38" s="85" t="s">
        <v>23</v>
      </c>
      <c r="J38" s="333">
        <f t="shared" si="0"/>
        <v>0</v>
      </c>
      <c r="K38" s="174"/>
      <c r="L38" s="175"/>
      <c r="M38" s="183"/>
      <c r="N38" s="184"/>
      <c r="O38" s="185"/>
      <c r="P38" s="186"/>
      <c r="Q38" s="183"/>
      <c r="R38" s="187"/>
      <c r="S38" s="223"/>
      <c r="T38" s="661"/>
      <c r="U38" s="661">
        <v>1.12</v>
      </c>
      <c r="V38" s="83" t="s">
        <v>88</v>
      </c>
      <c r="W38" s="338" t="s">
        <v>209</v>
      </c>
      <c r="X38" s="85" t="s">
        <v>23</v>
      </c>
      <c r="Y38" s="206"/>
      <c r="Z38" s="83" t="s">
        <v>88</v>
      </c>
      <c r="AA38" s="338" t="s">
        <v>209</v>
      </c>
      <c r="AB38" s="85" t="s">
        <v>23</v>
      </c>
      <c r="AC38" s="158"/>
      <c r="AD38" s="83" t="s">
        <v>88</v>
      </c>
      <c r="AE38" s="338" t="s">
        <v>209</v>
      </c>
      <c r="AF38" s="85" t="s">
        <v>23</v>
      </c>
      <c r="AG38" s="158"/>
      <c r="AH38" s="83" t="s">
        <v>88</v>
      </c>
      <c r="AI38" s="338" t="s">
        <v>209</v>
      </c>
      <c r="AJ38" s="85" t="s">
        <v>23</v>
      </c>
      <c r="AK38" s="158"/>
      <c r="AL38" s="83" t="s">
        <v>88</v>
      </c>
      <c r="AM38" s="338" t="s">
        <v>209</v>
      </c>
      <c r="AN38" s="85" t="s">
        <v>23</v>
      </c>
      <c r="AO38" s="158"/>
      <c r="AP38" s="83" t="s">
        <v>88</v>
      </c>
      <c r="AQ38" s="338" t="s">
        <v>209</v>
      </c>
      <c r="AR38" s="85" t="s">
        <v>23</v>
      </c>
      <c r="AS38" s="158"/>
      <c r="AT38" s="83" t="s">
        <v>88</v>
      </c>
      <c r="AU38" s="338" t="s">
        <v>209</v>
      </c>
      <c r="AV38" s="85" t="s">
        <v>23</v>
      </c>
      <c r="AW38" s="158"/>
    </row>
    <row r="39" spans="1:49" s="32" customFormat="1" ht="15.75" hidden="1">
      <c r="A39" s="78"/>
      <c r="B39" s="338" t="s">
        <v>24</v>
      </c>
      <c r="C39" s="338" t="s">
        <v>13</v>
      </c>
      <c r="D39" s="509">
        <v>475</v>
      </c>
      <c r="E39" s="509">
        <v>475</v>
      </c>
      <c r="F39"/>
      <c r="G39" s="83" t="s">
        <v>164</v>
      </c>
      <c r="H39" s="338" t="s">
        <v>24</v>
      </c>
      <c r="I39" s="85" t="s">
        <v>13</v>
      </c>
      <c r="J39" s="333">
        <f t="shared" si="0"/>
        <v>0</v>
      </c>
      <c r="K39" s="174"/>
      <c r="L39" s="175"/>
      <c r="M39" s="183"/>
      <c r="N39" s="184"/>
      <c r="O39" s="185"/>
      <c r="P39" s="186"/>
      <c r="Q39" s="183"/>
      <c r="R39" s="187"/>
      <c r="S39" s="223"/>
      <c r="T39" s="661"/>
      <c r="U39" s="661">
        <v>1.13</v>
      </c>
      <c r="V39" s="83" t="s">
        <v>164</v>
      </c>
      <c r="W39" s="338" t="s">
        <v>24</v>
      </c>
      <c r="X39" s="85" t="s">
        <v>13</v>
      </c>
      <c r="Y39" s="206"/>
      <c r="Z39" s="83" t="s">
        <v>164</v>
      </c>
      <c r="AA39" s="338" t="s">
        <v>24</v>
      </c>
      <c r="AB39" s="85" t="s">
        <v>13</v>
      </c>
      <c r="AC39" s="158"/>
      <c r="AD39" s="83" t="s">
        <v>164</v>
      </c>
      <c r="AE39" s="338" t="s">
        <v>24</v>
      </c>
      <c r="AF39" s="85" t="s">
        <v>13</v>
      </c>
      <c r="AG39" s="158"/>
      <c r="AH39" s="83" t="s">
        <v>164</v>
      </c>
      <c r="AI39" s="338" t="s">
        <v>24</v>
      </c>
      <c r="AJ39" s="85" t="s">
        <v>13</v>
      </c>
      <c r="AK39" s="158"/>
      <c r="AL39" s="83" t="s">
        <v>164</v>
      </c>
      <c r="AM39" s="338" t="s">
        <v>24</v>
      </c>
      <c r="AN39" s="85" t="s">
        <v>13</v>
      </c>
      <c r="AO39" s="158"/>
      <c r="AP39" s="83" t="s">
        <v>164</v>
      </c>
      <c r="AQ39" s="338" t="s">
        <v>24</v>
      </c>
      <c r="AR39" s="85" t="s">
        <v>13</v>
      </c>
      <c r="AS39" s="158"/>
      <c r="AT39" s="83" t="s">
        <v>164</v>
      </c>
      <c r="AU39" s="338" t="s">
        <v>24</v>
      </c>
      <c r="AV39" s="85" t="s">
        <v>13</v>
      </c>
      <c r="AW39" s="158"/>
    </row>
    <row r="40" spans="1:49" s="663" customFormat="1" ht="15.75">
      <c r="A40" s="516"/>
      <c r="B40" s="504" t="s">
        <v>327</v>
      </c>
      <c r="C40" s="371" t="s">
        <v>13</v>
      </c>
      <c r="D40" s="132">
        <v>491</v>
      </c>
      <c r="E40" s="132">
        <v>491</v>
      </c>
      <c r="F40"/>
      <c r="G40" s="83" t="s">
        <v>165</v>
      </c>
      <c r="H40" s="338" t="s">
        <v>327</v>
      </c>
      <c r="I40" s="339" t="s">
        <v>13</v>
      </c>
      <c r="J40" s="638">
        <f t="shared" si="0"/>
        <v>0.4811</v>
      </c>
      <c r="K40" s="185"/>
      <c r="L40" s="186"/>
      <c r="M40" s="183"/>
      <c r="N40" s="184"/>
      <c r="O40" s="185"/>
      <c r="P40" s="186"/>
      <c r="Q40" s="183"/>
      <c r="R40" s="187"/>
      <c r="S40" s="223">
        <f t="shared" si="1"/>
        <v>0</v>
      </c>
      <c r="T40" s="662">
        <f t="shared" si="1"/>
        <v>0</v>
      </c>
      <c r="U40" s="662">
        <v>1.14</v>
      </c>
      <c r="V40" s="83" t="s">
        <v>165</v>
      </c>
      <c r="W40" s="338" t="s">
        <v>327</v>
      </c>
      <c r="X40" s="339" t="s">
        <v>13</v>
      </c>
      <c r="Y40" s="373">
        <v>0.2</v>
      </c>
      <c r="Z40" s="83" t="s">
        <v>165</v>
      </c>
      <c r="AA40" s="338" t="s">
        <v>327</v>
      </c>
      <c r="AB40" s="339" t="s">
        <v>13</v>
      </c>
      <c r="AC40" s="373">
        <v>0.05</v>
      </c>
      <c r="AD40" s="83" t="s">
        <v>165</v>
      </c>
      <c r="AE40" s="338" t="s">
        <v>327</v>
      </c>
      <c r="AF40" s="339" t="s">
        <v>13</v>
      </c>
      <c r="AG40" s="373">
        <f>0.06+0.098</f>
        <v>0.158</v>
      </c>
      <c r="AH40" s="83" t="s">
        <v>165</v>
      </c>
      <c r="AI40" s="338" t="s">
        <v>327</v>
      </c>
      <c r="AJ40" s="339" t="s">
        <v>13</v>
      </c>
      <c r="AK40" s="249"/>
      <c r="AL40" s="83" t="s">
        <v>165</v>
      </c>
      <c r="AM40" s="338" t="s">
        <v>327</v>
      </c>
      <c r="AN40" s="339" t="s">
        <v>13</v>
      </c>
      <c r="AO40" s="249"/>
      <c r="AP40" s="83" t="s">
        <v>165</v>
      </c>
      <c r="AQ40" s="338" t="s">
        <v>327</v>
      </c>
      <c r="AR40" s="339" t="s">
        <v>13</v>
      </c>
      <c r="AS40" s="249"/>
      <c r="AT40" s="83" t="s">
        <v>165</v>
      </c>
      <c r="AU40" s="338" t="s">
        <v>391</v>
      </c>
      <c r="AV40" s="339" t="s">
        <v>13</v>
      </c>
      <c r="AW40" s="373">
        <v>0.0731</v>
      </c>
    </row>
    <row r="41" spans="1:49" s="32" customFormat="1" ht="15.75">
      <c r="A41" s="78"/>
      <c r="B41" s="338" t="s">
        <v>328</v>
      </c>
      <c r="C41" s="338" t="s">
        <v>13</v>
      </c>
      <c r="D41" s="509">
        <v>37</v>
      </c>
      <c r="E41" s="509">
        <v>37</v>
      </c>
      <c r="F41"/>
      <c r="G41" s="83" t="s">
        <v>166</v>
      </c>
      <c r="H41" s="338" t="s">
        <v>328</v>
      </c>
      <c r="I41" s="339" t="s">
        <v>13</v>
      </c>
      <c r="J41" s="333">
        <f t="shared" si="0"/>
        <v>3.908</v>
      </c>
      <c r="K41" s="174"/>
      <c r="L41" s="175"/>
      <c r="M41" s="183"/>
      <c r="N41" s="184"/>
      <c r="O41" s="185"/>
      <c r="P41" s="186"/>
      <c r="Q41" s="183"/>
      <c r="R41" s="187">
        <v>0</v>
      </c>
      <c r="S41" s="223"/>
      <c r="T41" s="661">
        <f t="shared" si="1"/>
        <v>0</v>
      </c>
      <c r="U41" s="661">
        <v>1.15</v>
      </c>
      <c r="V41" s="83" t="s">
        <v>166</v>
      </c>
      <c r="W41" s="338" t="s">
        <v>328</v>
      </c>
      <c r="X41" s="339" t="s">
        <v>13</v>
      </c>
      <c r="Y41" s="206">
        <v>0.2</v>
      </c>
      <c r="Z41" s="83" t="s">
        <v>166</v>
      </c>
      <c r="AA41" s="338" t="s">
        <v>328</v>
      </c>
      <c r="AB41" s="339" t="s">
        <v>13</v>
      </c>
      <c r="AC41" s="206">
        <v>0.05</v>
      </c>
      <c r="AD41" s="83" t="s">
        <v>166</v>
      </c>
      <c r="AE41" s="338" t="s">
        <v>328</v>
      </c>
      <c r="AF41" s="339" t="s">
        <v>13</v>
      </c>
      <c r="AG41" s="206">
        <v>0.158</v>
      </c>
      <c r="AH41" s="83" t="s">
        <v>166</v>
      </c>
      <c r="AI41" s="338" t="s">
        <v>328</v>
      </c>
      <c r="AJ41" s="339" t="s">
        <v>13</v>
      </c>
      <c r="AK41" s="158"/>
      <c r="AL41" s="83" t="s">
        <v>166</v>
      </c>
      <c r="AM41" s="338" t="s">
        <v>328</v>
      </c>
      <c r="AN41" s="339" t="s">
        <v>13</v>
      </c>
      <c r="AO41" s="158"/>
      <c r="AP41" s="83" t="s">
        <v>166</v>
      </c>
      <c r="AQ41" s="338" t="s">
        <v>328</v>
      </c>
      <c r="AR41" s="339" t="s">
        <v>13</v>
      </c>
      <c r="AS41" s="158"/>
      <c r="AT41" s="83" t="s">
        <v>166</v>
      </c>
      <c r="AU41" s="338" t="s">
        <v>390</v>
      </c>
      <c r="AV41" s="339" t="s">
        <v>13</v>
      </c>
      <c r="AW41" s="206">
        <f>1.75+1.75</f>
        <v>3.5</v>
      </c>
    </row>
    <row r="42" spans="1:49" s="32" customFormat="1" ht="15.75">
      <c r="A42" s="140"/>
      <c r="B42" s="368" t="s">
        <v>342</v>
      </c>
      <c r="C42" s="368" t="s">
        <v>13</v>
      </c>
      <c r="D42" s="526">
        <v>673</v>
      </c>
      <c r="E42" s="526">
        <v>673</v>
      </c>
      <c r="F42"/>
      <c r="G42" s="141" t="s">
        <v>167</v>
      </c>
      <c r="H42" s="368" t="s">
        <v>329</v>
      </c>
      <c r="I42" s="363" t="s">
        <v>13</v>
      </c>
      <c r="J42" s="333">
        <f t="shared" si="0"/>
        <v>0.08</v>
      </c>
      <c r="K42" s="190">
        <v>1.49</v>
      </c>
      <c r="L42" s="175" t="e">
        <f>K42/$J42*#REF!-51.9-9.4</f>
        <v>#REF!</v>
      </c>
      <c r="M42" s="183"/>
      <c r="N42" s="184"/>
      <c r="O42" s="185"/>
      <c r="P42" s="186"/>
      <c r="Q42" s="188">
        <v>1.49</v>
      </c>
      <c r="R42" s="187" t="e">
        <f>Q42/$J42*#REF!+51.9+9.4</f>
        <v>#REF!</v>
      </c>
      <c r="S42" s="223">
        <f t="shared" si="1"/>
        <v>2.98</v>
      </c>
      <c r="T42" s="661" t="e">
        <f t="shared" si="1"/>
        <v>#REF!</v>
      </c>
      <c r="U42" s="661">
        <v>1.16</v>
      </c>
      <c r="V42" s="141" t="s">
        <v>167</v>
      </c>
      <c r="W42" s="368" t="s">
        <v>329</v>
      </c>
      <c r="X42" s="363" t="s">
        <v>13</v>
      </c>
      <c r="Y42" s="206">
        <v>0.08</v>
      </c>
      <c r="Z42" s="141" t="s">
        <v>167</v>
      </c>
      <c r="AA42" s="368" t="s">
        <v>329</v>
      </c>
      <c r="AB42" s="363" t="s">
        <v>13</v>
      </c>
      <c r="AC42" s="158"/>
      <c r="AD42" s="141" t="s">
        <v>167</v>
      </c>
      <c r="AE42" s="368" t="s">
        <v>329</v>
      </c>
      <c r="AF42" s="363" t="s">
        <v>13</v>
      </c>
      <c r="AG42" s="206"/>
      <c r="AH42" s="141" t="s">
        <v>167</v>
      </c>
      <c r="AI42" s="368" t="s">
        <v>329</v>
      </c>
      <c r="AJ42" s="363" t="s">
        <v>13</v>
      </c>
      <c r="AK42" s="158"/>
      <c r="AL42" s="141" t="s">
        <v>167</v>
      </c>
      <c r="AM42" s="368" t="s">
        <v>329</v>
      </c>
      <c r="AN42" s="363" t="s">
        <v>13</v>
      </c>
      <c r="AO42" s="158"/>
      <c r="AP42" s="141" t="s">
        <v>167</v>
      </c>
      <c r="AQ42" s="368" t="s">
        <v>329</v>
      </c>
      <c r="AR42" s="363" t="s">
        <v>13</v>
      </c>
      <c r="AS42" s="158"/>
      <c r="AT42" s="141" t="s">
        <v>167</v>
      </c>
      <c r="AU42" s="368" t="s">
        <v>329</v>
      </c>
      <c r="AV42" s="363" t="s">
        <v>13</v>
      </c>
      <c r="AW42" s="158"/>
    </row>
    <row r="43" spans="1:49" s="32" customFormat="1" ht="15.75">
      <c r="A43" s="78"/>
      <c r="B43" s="338" t="s">
        <v>74</v>
      </c>
      <c r="C43" s="338" t="s">
        <v>13</v>
      </c>
      <c r="D43" s="515">
        <v>785</v>
      </c>
      <c r="E43" s="515">
        <v>785</v>
      </c>
      <c r="F43"/>
      <c r="G43" s="83" t="s">
        <v>168</v>
      </c>
      <c r="H43" s="338" t="s">
        <v>74</v>
      </c>
      <c r="I43" s="85" t="s">
        <v>13</v>
      </c>
      <c r="J43" s="333">
        <f t="shared" si="0"/>
        <v>0.225</v>
      </c>
      <c r="K43" s="190"/>
      <c r="L43" s="175"/>
      <c r="M43" s="183"/>
      <c r="N43" s="184"/>
      <c r="O43" s="185"/>
      <c r="P43" s="186"/>
      <c r="Q43" s="188"/>
      <c r="R43" s="187"/>
      <c r="S43" s="223"/>
      <c r="T43" s="661"/>
      <c r="U43" s="661"/>
      <c r="V43" s="83" t="s">
        <v>168</v>
      </c>
      <c r="W43" s="338" t="s">
        <v>74</v>
      </c>
      <c r="X43" s="85" t="s">
        <v>13</v>
      </c>
      <c r="Y43" s="206">
        <f>0.2-0.1</f>
        <v>0.1</v>
      </c>
      <c r="Z43" s="83" t="s">
        <v>168</v>
      </c>
      <c r="AA43" s="338" t="s">
        <v>74</v>
      </c>
      <c r="AB43" s="85" t="s">
        <v>13</v>
      </c>
      <c r="AC43" s="158">
        <v>0.025</v>
      </c>
      <c r="AD43" s="83" t="s">
        <v>168</v>
      </c>
      <c r="AE43" s="338" t="s">
        <v>74</v>
      </c>
      <c r="AF43" s="85" t="s">
        <v>13</v>
      </c>
      <c r="AG43" s="206"/>
      <c r="AH43" s="83" t="s">
        <v>168</v>
      </c>
      <c r="AI43" s="338" t="s">
        <v>74</v>
      </c>
      <c r="AJ43" s="85" t="s">
        <v>13</v>
      </c>
      <c r="AK43" s="158"/>
      <c r="AL43" s="83" t="s">
        <v>168</v>
      </c>
      <c r="AM43" s="338" t="s">
        <v>74</v>
      </c>
      <c r="AN43" s="85" t="s">
        <v>13</v>
      </c>
      <c r="AO43" s="158"/>
      <c r="AP43" s="83" t="s">
        <v>168</v>
      </c>
      <c r="AQ43" s="338" t="s">
        <v>74</v>
      </c>
      <c r="AR43" s="85" t="s">
        <v>13</v>
      </c>
      <c r="AS43" s="206">
        <v>0.1</v>
      </c>
      <c r="AT43" s="83" t="s">
        <v>168</v>
      </c>
      <c r="AU43" s="338" t="s">
        <v>74</v>
      </c>
      <c r="AV43" s="85" t="s">
        <v>13</v>
      </c>
      <c r="AW43" s="158"/>
    </row>
    <row r="44" spans="1:49" s="32" customFormat="1" ht="15.75" hidden="1">
      <c r="A44" s="516"/>
      <c r="B44" s="110" t="s">
        <v>331</v>
      </c>
      <c r="C44" s="111" t="s">
        <v>10</v>
      </c>
      <c r="D44" s="510">
        <v>0.814</v>
      </c>
      <c r="E44" s="510">
        <v>0.814</v>
      </c>
      <c r="F44"/>
      <c r="G44" s="83" t="s">
        <v>169</v>
      </c>
      <c r="H44" s="84" t="s">
        <v>331</v>
      </c>
      <c r="I44" s="85" t="s">
        <v>10</v>
      </c>
      <c r="J44" s="333">
        <f t="shared" si="0"/>
        <v>0</v>
      </c>
      <c r="K44" s="190"/>
      <c r="L44" s="175"/>
      <c r="M44" s="183"/>
      <c r="N44" s="184"/>
      <c r="O44" s="185"/>
      <c r="P44" s="186"/>
      <c r="Q44" s="188"/>
      <c r="R44" s="187"/>
      <c r="S44" s="223"/>
      <c r="T44" s="661"/>
      <c r="U44" s="661"/>
      <c r="V44" s="83" t="s">
        <v>169</v>
      </c>
      <c r="W44" s="84" t="s">
        <v>331</v>
      </c>
      <c r="X44" s="85" t="s">
        <v>10</v>
      </c>
      <c r="Y44" s="158"/>
      <c r="Z44" s="83" t="s">
        <v>169</v>
      </c>
      <c r="AA44" s="84" t="s">
        <v>331</v>
      </c>
      <c r="AB44" s="85" t="s">
        <v>10</v>
      </c>
      <c r="AC44" s="158"/>
      <c r="AD44" s="83" t="s">
        <v>169</v>
      </c>
      <c r="AE44" s="84" t="s">
        <v>331</v>
      </c>
      <c r="AF44" s="85" t="s">
        <v>10</v>
      </c>
      <c r="AG44" s="206"/>
      <c r="AH44" s="83" t="s">
        <v>169</v>
      </c>
      <c r="AI44" s="84" t="s">
        <v>331</v>
      </c>
      <c r="AJ44" s="85" t="s">
        <v>10</v>
      </c>
      <c r="AK44" s="158"/>
      <c r="AL44" s="83" t="s">
        <v>169</v>
      </c>
      <c r="AM44" s="84" t="s">
        <v>331</v>
      </c>
      <c r="AN44" s="85" t="s">
        <v>10</v>
      </c>
      <c r="AO44" s="158"/>
      <c r="AP44" s="83" t="s">
        <v>169</v>
      </c>
      <c r="AQ44" s="84" t="s">
        <v>331</v>
      </c>
      <c r="AR44" s="85" t="s">
        <v>10</v>
      </c>
      <c r="AS44" s="158"/>
      <c r="AT44" s="83" t="s">
        <v>169</v>
      </c>
      <c r="AU44" s="84" t="s">
        <v>331</v>
      </c>
      <c r="AV44" s="85" t="s">
        <v>10</v>
      </c>
      <c r="AW44" s="158"/>
    </row>
    <row r="45" spans="1:49" s="32" customFormat="1" ht="15.75" hidden="1">
      <c r="A45" s="78"/>
      <c r="B45" s="84" t="s">
        <v>330</v>
      </c>
      <c r="C45" s="85" t="s">
        <v>10</v>
      </c>
      <c r="D45" s="510">
        <v>0.184</v>
      </c>
      <c r="E45" s="510">
        <v>0.184</v>
      </c>
      <c r="F45"/>
      <c r="G45" s="83" t="s">
        <v>170</v>
      </c>
      <c r="H45" s="84" t="s">
        <v>330</v>
      </c>
      <c r="I45" s="85" t="s">
        <v>10</v>
      </c>
      <c r="J45" s="333">
        <f t="shared" si="0"/>
        <v>0</v>
      </c>
      <c r="K45" s="190"/>
      <c r="L45" s="175"/>
      <c r="M45" s="183"/>
      <c r="N45" s="184"/>
      <c r="O45" s="185"/>
      <c r="P45" s="186"/>
      <c r="Q45" s="188"/>
      <c r="R45" s="187"/>
      <c r="S45" s="223"/>
      <c r="T45" s="661"/>
      <c r="U45" s="661"/>
      <c r="V45" s="83" t="s">
        <v>170</v>
      </c>
      <c r="W45" s="84" t="s">
        <v>330</v>
      </c>
      <c r="X45" s="85" t="s">
        <v>10</v>
      </c>
      <c r="Y45" s="158"/>
      <c r="Z45" s="83" t="s">
        <v>170</v>
      </c>
      <c r="AA45" s="84" t="s">
        <v>330</v>
      </c>
      <c r="AB45" s="85" t="s">
        <v>10</v>
      </c>
      <c r="AC45" s="158"/>
      <c r="AD45" s="83" t="s">
        <v>170</v>
      </c>
      <c r="AE45" s="84" t="s">
        <v>330</v>
      </c>
      <c r="AF45" s="85" t="s">
        <v>10</v>
      </c>
      <c r="AG45" s="206"/>
      <c r="AH45" s="83" t="s">
        <v>170</v>
      </c>
      <c r="AI45" s="84" t="s">
        <v>330</v>
      </c>
      <c r="AJ45" s="85" t="s">
        <v>10</v>
      </c>
      <c r="AK45" s="158"/>
      <c r="AL45" s="83" t="s">
        <v>170</v>
      </c>
      <c r="AM45" s="84" t="s">
        <v>330</v>
      </c>
      <c r="AN45" s="85" t="s">
        <v>10</v>
      </c>
      <c r="AO45" s="158"/>
      <c r="AP45" s="83" t="s">
        <v>170</v>
      </c>
      <c r="AQ45" s="84" t="s">
        <v>330</v>
      </c>
      <c r="AR45" s="85" t="s">
        <v>10</v>
      </c>
      <c r="AS45" s="158"/>
      <c r="AT45" s="83" t="s">
        <v>170</v>
      </c>
      <c r="AU45" s="84" t="s">
        <v>330</v>
      </c>
      <c r="AV45" s="85" t="s">
        <v>10</v>
      </c>
      <c r="AW45" s="158"/>
    </row>
    <row r="46" spans="1:49" s="32" customFormat="1" ht="15.75">
      <c r="A46" s="78"/>
      <c r="B46" s="84" t="s">
        <v>340</v>
      </c>
      <c r="C46" s="85" t="s">
        <v>10</v>
      </c>
      <c r="D46" s="510">
        <v>0.951</v>
      </c>
      <c r="E46" s="510">
        <v>0.951</v>
      </c>
      <c r="F46"/>
      <c r="G46" s="83" t="s">
        <v>171</v>
      </c>
      <c r="H46" s="84" t="s">
        <v>340</v>
      </c>
      <c r="I46" s="85" t="s">
        <v>10</v>
      </c>
      <c r="J46" s="334">
        <f t="shared" si="0"/>
        <v>114</v>
      </c>
      <c r="K46" s="174"/>
      <c r="L46" s="175" t="e">
        <f>K46/$J46*#REF!</f>
        <v>#REF!</v>
      </c>
      <c r="M46" s="183">
        <v>0.2</v>
      </c>
      <c r="N46" s="184" t="e">
        <f>M46/$J46*#REF!</f>
        <v>#REF!</v>
      </c>
      <c r="O46" s="185"/>
      <c r="P46" s="186"/>
      <c r="Q46" s="183"/>
      <c r="R46" s="187"/>
      <c r="S46" s="223">
        <f t="shared" si="1"/>
        <v>0.2</v>
      </c>
      <c r="T46" s="661" t="e">
        <f t="shared" si="1"/>
        <v>#REF!</v>
      </c>
      <c r="U46" s="661" t="e">
        <f>#REF!-T46</f>
        <v>#REF!</v>
      </c>
      <c r="V46" s="83" t="s">
        <v>171</v>
      </c>
      <c r="W46" s="84" t="s">
        <v>340</v>
      </c>
      <c r="X46" s="85" t="s">
        <v>10</v>
      </c>
      <c r="Y46" s="206"/>
      <c r="Z46" s="83" t="s">
        <v>171</v>
      </c>
      <c r="AA46" s="84" t="s">
        <v>340</v>
      </c>
      <c r="AB46" s="85" t="s">
        <v>10</v>
      </c>
      <c r="AC46" s="158"/>
      <c r="AD46" s="83" t="s">
        <v>171</v>
      </c>
      <c r="AE46" s="84" t="s">
        <v>340</v>
      </c>
      <c r="AF46" s="85" t="s">
        <v>10</v>
      </c>
      <c r="AG46" s="158">
        <v>90</v>
      </c>
      <c r="AH46" s="83" t="s">
        <v>171</v>
      </c>
      <c r="AI46" s="84" t="s">
        <v>340</v>
      </c>
      <c r="AJ46" s="85" t="s">
        <v>10</v>
      </c>
      <c r="AK46" s="158">
        <v>9</v>
      </c>
      <c r="AL46" s="83" t="s">
        <v>171</v>
      </c>
      <c r="AM46" s="84" t="s">
        <v>340</v>
      </c>
      <c r="AN46" s="85" t="s">
        <v>10</v>
      </c>
      <c r="AO46" s="158"/>
      <c r="AP46" s="83" t="s">
        <v>171</v>
      </c>
      <c r="AQ46" s="84" t="s">
        <v>340</v>
      </c>
      <c r="AR46" s="85" t="s">
        <v>10</v>
      </c>
      <c r="AS46" s="158">
        <v>15</v>
      </c>
      <c r="AT46" s="83" t="s">
        <v>171</v>
      </c>
      <c r="AU46" s="84" t="s">
        <v>340</v>
      </c>
      <c r="AV46" s="85" t="s">
        <v>10</v>
      </c>
      <c r="AW46" s="158"/>
    </row>
    <row r="47" spans="1:49" s="32" customFormat="1" ht="15.75">
      <c r="A47" s="78"/>
      <c r="B47" s="84" t="s">
        <v>332</v>
      </c>
      <c r="C47" s="85" t="s">
        <v>10</v>
      </c>
      <c r="D47" s="510">
        <v>1.182</v>
      </c>
      <c r="E47" s="510">
        <v>1.182</v>
      </c>
      <c r="F47"/>
      <c r="G47" s="83" t="s">
        <v>172</v>
      </c>
      <c r="H47" s="84" t="s">
        <v>332</v>
      </c>
      <c r="I47" s="85" t="s">
        <v>10</v>
      </c>
      <c r="J47" s="334">
        <f t="shared" si="0"/>
        <v>24</v>
      </c>
      <c r="K47" s="174">
        <v>50</v>
      </c>
      <c r="L47" s="175" t="e">
        <f>K47/$J47*#REF!</f>
        <v>#REF!</v>
      </c>
      <c r="M47" s="183"/>
      <c r="N47" s="184"/>
      <c r="O47" s="185"/>
      <c r="P47" s="186"/>
      <c r="Q47" s="183"/>
      <c r="R47" s="187"/>
      <c r="S47" s="223">
        <f t="shared" si="1"/>
        <v>50</v>
      </c>
      <c r="T47" s="661" t="e">
        <f t="shared" si="1"/>
        <v>#REF!</v>
      </c>
      <c r="U47" s="661" t="e">
        <f>#REF!-T47</f>
        <v>#REF!</v>
      </c>
      <c r="V47" s="83" t="s">
        <v>172</v>
      </c>
      <c r="W47" s="84" t="s">
        <v>332</v>
      </c>
      <c r="X47" s="85" t="s">
        <v>10</v>
      </c>
      <c r="Y47" s="158">
        <v>12</v>
      </c>
      <c r="Z47" s="83" t="s">
        <v>172</v>
      </c>
      <c r="AA47" s="84" t="s">
        <v>332</v>
      </c>
      <c r="AB47" s="85" t="s">
        <v>10</v>
      </c>
      <c r="AC47" s="158"/>
      <c r="AD47" s="83" t="s">
        <v>172</v>
      </c>
      <c r="AE47" s="84" t="s">
        <v>332</v>
      </c>
      <c r="AF47" s="85" t="s">
        <v>10</v>
      </c>
      <c r="AG47" s="158">
        <v>8</v>
      </c>
      <c r="AH47" s="83" t="s">
        <v>172</v>
      </c>
      <c r="AI47" s="84" t="s">
        <v>332</v>
      </c>
      <c r="AJ47" s="85" t="s">
        <v>10</v>
      </c>
      <c r="AK47" s="158">
        <v>4</v>
      </c>
      <c r="AL47" s="83" t="s">
        <v>172</v>
      </c>
      <c r="AM47" s="84" t="s">
        <v>332</v>
      </c>
      <c r="AN47" s="85" t="s">
        <v>10</v>
      </c>
      <c r="AO47" s="158"/>
      <c r="AP47" s="83" t="s">
        <v>172</v>
      </c>
      <c r="AQ47" s="84" t="s">
        <v>332</v>
      </c>
      <c r="AR47" s="85" t="s">
        <v>10</v>
      </c>
      <c r="AS47" s="158"/>
      <c r="AT47" s="83" t="s">
        <v>172</v>
      </c>
      <c r="AU47" s="84" t="s">
        <v>332</v>
      </c>
      <c r="AV47" s="85" t="s">
        <v>10</v>
      </c>
      <c r="AW47" s="158"/>
    </row>
    <row r="48" spans="1:49" s="32" customFormat="1" ht="15.75">
      <c r="A48" s="78"/>
      <c r="B48" s="338" t="s">
        <v>26</v>
      </c>
      <c r="C48" s="338" t="s">
        <v>25</v>
      </c>
      <c r="D48" s="100">
        <v>0</v>
      </c>
      <c r="E48" s="100">
        <v>0</v>
      </c>
      <c r="F48"/>
      <c r="G48" s="83" t="s">
        <v>89</v>
      </c>
      <c r="H48" s="338" t="s">
        <v>26</v>
      </c>
      <c r="I48" s="85" t="s">
        <v>25</v>
      </c>
      <c r="J48" s="333"/>
      <c r="K48" s="174"/>
      <c r="L48" s="175" t="e">
        <f>#REF!/2</f>
        <v>#REF!</v>
      </c>
      <c r="M48" s="183"/>
      <c r="N48" s="184"/>
      <c r="O48" s="185"/>
      <c r="P48" s="186"/>
      <c r="Q48" s="183"/>
      <c r="R48" s="187" t="e">
        <f>#REF!/2</f>
        <v>#REF!</v>
      </c>
      <c r="S48" s="223">
        <f t="shared" si="1"/>
        <v>0</v>
      </c>
      <c r="T48" s="661" t="e">
        <f t="shared" si="1"/>
        <v>#REF!</v>
      </c>
      <c r="U48" s="661" t="e">
        <f>#REF!-T48</f>
        <v>#REF!</v>
      </c>
      <c r="V48" s="83" t="s">
        <v>89</v>
      </c>
      <c r="W48" s="338" t="s">
        <v>26</v>
      </c>
      <c r="X48" s="85" t="s">
        <v>25</v>
      </c>
      <c r="Y48" s="158"/>
      <c r="Z48" s="83" t="s">
        <v>89</v>
      </c>
      <c r="AA48" s="338" t="s">
        <v>26</v>
      </c>
      <c r="AB48" s="85" t="s">
        <v>25</v>
      </c>
      <c r="AC48" s="158"/>
      <c r="AD48" s="83" t="s">
        <v>89</v>
      </c>
      <c r="AE48" s="338" t="s">
        <v>26</v>
      </c>
      <c r="AF48" s="85" t="s">
        <v>25</v>
      </c>
      <c r="AG48" s="158"/>
      <c r="AH48" s="83" t="s">
        <v>89</v>
      </c>
      <c r="AI48" s="338" t="s">
        <v>26</v>
      </c>
      <c r="AJ48" s="85" t="s">
        <v>25</v>
      </c>
      <c r="AK48" s="158"/>
      <c r="AL48" s="83" t="s">
        <v>89</v>
      </c>
      <c r="AM48" s="338" t="s">
        <v>26</v>
      </c>
      <c r="AN48" s="85" t="s">
        <v>25</v>
      </c>
      <c r="AO48" s="158"/>
      <c r="AP48" s="83" t="s">
        <v>89</v>
      </c>
      <c r="AQ48" s="338" t="s">
        <v>26</v>
      </c>
      <c r="AR48" s="85" t="s">
        <v>25</v>
      </c>
      <c r="AS48" s="158"/>
      <c r="AT48" s="83" t="s">
        <v>89</v>
      </c>
      <c r="AU48" s="338" t="s">
        <v>26</v>
      </c>
      <c r="AV48" s="85" t="s">
        <v>25</v>
      </c>
      <c r="AW48" s="158"/>
    </row>
    <row r="49" spans="1:49" s="32" customFormat="1" ht="15.75" hidden="1">
      <c r="A49" s="129"/>
      <c r="B49" s="371" t="s">
        <v>140</v>
      </c>
      <c r="C49" s="371" t="s">
        <v>213</v>
      </c>
      <c r="D49" s="132">
        <f>116.006*0</f>
        <v>0</v>
      </c>
      <c r="E49" s="132">
        <f>116.006*0</f>
        <v>0</v>
      </c>
      <c r="F49"/>
      <c r="G49" s="131" t="s">
        <v>173</v>
      </c>
      <c r="H49" s="371" t="s">
        <v>140</v>
      </c>
      <c r="I49" s="128" t="s">
        <v>256</v>
      </c>
      <c r="J49" s="333"/>
      <c r="K49" s="174"/>
      <c r="L49" s="175"/>
      <c r="M49" s="183"/>
      <c r="N49" s="184"/>
      <c r="O49" s="185"/>
      <c r="P49" s="186"/>
      <c r="Q49" s="183"/>
      <c r="R49" s="187"/>
      <c r="S49" s="223">
        <f t="shared" si="1"/>
        <v>0</v>
      </c>
      <c r="T49" s="661">
        <f t="shared" si="1"/>
        <v>0</v>
      </c>
      <c r="U49" s="661" t="e">
        <f>#REF!-T49</f>
        <v>#REF!</v>
      </c>
      <c r="V49" s="131" t="s">
        <v>173</v>
      </c>
      <c r="W49" s="371" t="s">
        <v>140</v>
      </c>
      <c r="X49" s="128" t="s">
        <v>256</v>
      </c>
      <c r="Y49" s="158"/>
      <c r="Z49" s="131" t="s">
        <v>173</v>
      </c>
      <c r="AA49" s="371" t="s">
        <v>140</v>
      </c>
      <c r="AB49" s="128" t="s">
        <v>256</v>
      </c>
      <c r="AC49" s="158"/>
      <c r="AD49" s="131" t="s">
        <v>173</v>
      </c>
      <c r="AE49" s="371" t="s">
        <v>140</v>
      </c>
      <c r="AF49" s="128" t="s">
        <v>256</v>
      </c>
      <c r="AG49" s="158"/>
      <c r="AH49" s="131" t="s">
        <v>173</v>
      </c>
      <c r="AI49" s="371" t="s">
        <v>140</v>
      </c>
      <c r="AJ49" s="128" t="s">
        <v>256</v>
      </c>
      <c r="AK49" s="158"/>
      <c r="AL49" s="131" t="s">
        <v>173</v>
      </c>
      <c r="AM49" s="371" t="s">
        <v>140</v>
      </c>
      <c r="AN49" s="128" t="s">
        <v>256</v>
      </c>
      <c r="AO49" s="158"/>
      <c r="AP49" s="131" t="s">
        <v>173</v>
      </c>
      <c r="AQ49" s="371" t="s">
        <v>140</v>
      </c>
      <c r="AR49" s="128" t="s">
        <v>256</v>
      </c>
      <c r="AS49" s="158"/>
      <c r="AT49" s="131" t="s">
        <v>173</v>
      </c>
      <c r="AU49" s="371" t="s">
        <v>140</v>
      </c>
      <c r="AV49" s="128" t="s">
        <v>256</v>
      </c>
      <c r="AW49" s="158"/>
    </row>
    <row r="50" spans="1:49" s="32" customFormat="1" ht="15.75" hidden="1">
      <c r="A50" s="129"/>
      <c r="B50" s="371" t="s">
        <v>141</v>
      </c>
      <c r="C50" s="371" t="s">
        <v>15</v>
      </c>
      <c r="D50" s="132">
        <f>55*0</f>
        <v>0</v>
      </c>
      <c r="E50" s="132">
        <f>55*0</f>
        <v>0</v>
      </c>
      <c r="F50"/>
      <c r="G50" s="131" t="s">
        <v>174</v>
      </c>
      <c r="H50" s="371" t="s">
        <v>141</v>
      </c>
      <c r="I50" s="85" t="s">
        <v>15</v>
      </c>
      <c r="J50" s="334"/>
      <c r="K50" s="174"/>
      <c r="L50" s="175"/>
      <c r="M50" s="183">
        <v>1</v>
      </c>
      <c r="N50" s="184" t="e">
        <f>M50/$J50*#REF!</f>
        <v>#DIV/0!</v>
      </c>
      <c r="O50" s="185"/>
      <c r="P50" s="186"/>
      <c r="Q50" s="183"/>
      <c r="R50" s="187"/>
      <c r="S50" s="223">
        <f t="shared" si="1"/>
        <v>1</v>
      </c>
      <c r="T50" s="661" t="e">
        <f t="shared" si="1"/>
        <v>#DIV/0!</v>
      </c>
      <c r="U50" s="661" t="e">
        <f>#REF!-T50</f>
        <v>#REF!</v>
      </c>
      <c r="V50" s="131" t="s">
        <v>174</v>
      </c>
      <c r="W50" s="371" t="s">
        <v>141</v>
      </c>
      <c r="X50" s="85" t="s">
        <v>15</v>
      </c>
      <c r="Y50" s="158"/>
      <c r="Z50" s="131" t="s">
        <v>174</v>
      </c>
      <c r="AA50" s="371" t="s">
        <v>141</v>
      </c>
      <c r="AB50" s="85" t="s">
        <v>15</v>
      </c>
      <c r="AC50" s="158"/>
      <c r="AD50" s="131" t="s">
        <v>174</v>
      </c>
      <c r="AE50" s="371" t="s">
        <v>141</v>
      </c>
      <c r="AF50" s="85" t="s">
        <v>15</v>
      </c>
      <c r="AG50" s="158"/>
      <c r="AH50" s="131" t="s">
        <v>174</v>
      </c>
      <c r="AI50" s="371" t="s">
        <v>141</v>
      </c>
      <c r="AJ50" s="85" t="s">
        <v>15</v>
      </c>
      <c r="AK50" s="158"/>
      <c r="AL50" s="131" t="s">
        <v>174</v>
      </c>
      <c r="AM50" s="371" t="s">
        <v>141</v>
      </c>
      <c r="AN50" s="85" t="s">
        <v>15</v>
      </c>
      <c r="AO50" s="158"/>
      <c r="AP50" s="131" t="s">
        <v>174</v>
      </c>
      <c r="AQ50" s="371" t="s">
        <v>141</v>
      </c>
      <c r="AR50" s="85" t="s">
        <v>15</v>
      </c>
      <c r="AS50" s="158"/>
      <c r="AT50" s="131" t="s">
        <v>174</v>
      </c>
      <c r="AU50" s="371" t="s">
        <v>141</v>
      </c>
      <c r="AV50" s="85" t="s">
        <v>15</v>
      </c>
      <c r="AW50" s="158"/>
    </row>
    <row r="51" spans="1:49" s="32" customFormat="1" ht="15.75">
      <c r="A51" s="78"/>
      <c r="B51" s="98"/>
      <c r="C51" s="98"/>
      <c r="D51" s="100">
        <v>0</v>
      </c>
      <c r="E51" s="100">
        <v>0</v>
      </c>
      <c r="F51"/>
      <c r="G51" s="39"/>
      <c r="H51" s="103" t="s">
        <v>216</v>
      </c>
      <c r="I51" s="104"/>
      <c r="J51" s="104"/>
      <c r="K51" s="70"/>
      <c r="L51" s="49" t="e">
        <f>SUM(L29:L50)</f>
        <v>#REF!</v>
      </c>
      <c r="M51" s="72"/>
      <c r="N51" s="49" t="e">
        <f>SUM(N29:N50)</f>
        <v>#REF!</v>
      </c>
      <c r="O51" s="70"/>
      <c r="P51" s="49" t="e">
        <f>SUM(P29:P50)</f>
        <v>#REF!</v>
      </c>
      <c r="Q51" s="72"/>
      <c r="R51" s="49" t="e">
        <f>SUM(R29:R50)</f>
        <v>#REF!</v>
      </c>
      <c r="S51" s="161"/>
      <c r="T51" s="161" t="e">
        <f>T29+T30+T32+T34+T35+T36+T41+T42+T46+T47+T48+T50</f>
        <v>#REF!</v>
      </c>
      <c r="U51" s="660"/>
      <c r="V51" s="39"/>
      <c r="W51" s="41" t="s">
        <v>216</v>
      </c>
      <c r="X51" s="43"/>
      <c r="Y51" s="160"/>
      <c r="Z51" s="39"/>
      <c r="AA51" s="41" t="s">
        <v>216</v>
      </c>
      <c r="AB51" s="43"/>
      <c r="AC51" s="160"/>
      <c r="AD51" s="39"/>
      <c r="AE51" s="41" t="s">
        <v>216</v>
      </c>
      <c r="AF51" s="43"/>
      <c r="AG51" s="160"/>
      <c r="AH51" s="39"/>
      <c r="AI51" s="41" t="s">
        <v>216</v>
      </c>
      <c r="AJ51" s="43"/>
      <c r="AK51" s="160"/>
      <c r="AL51" s="39"/>
      <c r="AM51" s="41" t="s">
        <v>216</v>
      </c>
      <c r="AN51" s="43"/>
      <c r="AO51" s="160"/>
      <c r="AP51" s="39"/>
      <c r="AQ51" s="41" t="s">
        <v>216</v>
      </c>
      <c r="AR51" s="43"/>
      <c r="AS51" s="160"/>
      <c r="AT51" s="39"/>
      <c r="AU51" s="41" t="s">
        <v>216</v>
      </c>
      <c r="AV51" s="43"/>
      <c r="AW51" s="160"/>
    </row>
    <row r="52" spans="1:49" s="32" customFormat="1" ht="18.75">
      <c r="A52" s="404"/>
      <c r="B52" s="395"/>
      <c r="C52" s="395"/>
      <c r="D52" s="508">
        <v>0</v>
      </c>
      <c r="E52" s="508">
        <v>0</v>
      </c>
      <c r="F52"/>
      <c r="G52" s="397" t="s">
        <v>156</v>
      </c>
      <c r="H52" s="97" t="s">
        <v>44</v>
      </c>
      <c r="I52" s="85"/>
      <c r="J52" s="333"/>
      <c r="K52" s="174"/>
      <c r="L52" s="175"/>
      <c r="M52" s="183"/>
      <c r="N52" s="184"/>
      <c r="O52" s="185"/>
      <c r="P52" s="186"/>
      <c r="Q52" s="183"/>
      <c r="R52" s="187"/>
      <c r="S52" s="216"/>
      <c r="T52" s="660"/>
      <c r="U52" s="660"/>
      <c r="V52" s="397" t="s">
        <v>156</v>
      </c>
      <c r="W52" s="42" t="s">
        <v>44</v>
      </c>
      <c r="X52" s="11"/>
      <c r="Y52" s="158"/>
      <c r="Z52" s="397" t="s">
        <v>156</v>
      </c>
      <c r="AA52" s="42" t="s">
        <v>44</v>
      </c>
      <c r="AB52" s="11"/>
      <c r="AC52" s="158"/>
      <c r="AD52" s="397" t="s">
        <v>156</v>
      </c>
      <c r="AE52" s="42" t="s">
        <v>44</v>
      </c>
      <c r="AF52" s="11"/>
      <c r="AG52" s="158"/>
      <c r="AH52" s="397" t="s">
        <v>156</v>
      </c>
      <c r="AI52" s="42" t="s">
        <v>44</v>
      </c>
      <c r="AJ52" s="11"/>
      <c r="AK52" s="158"/>
      <c r="AL52" s="397" t="s">
        <v>156</v>
      </c>
      <c r="AM52" s="42" t="s">
        <v>44</v>
      </c>
      <c r="AN52" s="11"/>
      <c r="AO52" s="158"/>
      <c r="AP52" s="397" t="s">
        <v>156</v>
      </c>
      <c r="AQ52" s="42" t="s">
        <v>44</v>
      </c>
      <c r="AR52" s="11"/>
      <c r="AS52" s="158"/>
      <c r="AT52" s="397" t="s">
        <v>156</v>
      </c>
      <c r="AU52" s="42" t="s">
        <v>44</v>
      </c>
      <c r="AV52" s="11"/>
      <c r="AW52" s="158"/>
    </row>
    <row r="53" spans="1:52" s="401" customFormat="1" ht="18.75">
      <c r="A53" s="299"/>
      <c r="B53" s="341" t="s">
        <v>36</v>
      </c>
      <c r="C53" s="341" t="s">
        <v>20</v>
      </c>
      <c r="D53" s="510">
        <v>0.433</v>
      </c>
      <c r="E53" s="510">
        <v>0.433</v>
      </c>
      <c r="G53" s="143" t="s">
        <v>173</v>
      </c>
      <c r="H53" s="84" t="s">
        <v>36</v>
      </c>
      <c r="I53" s="85" t="s">
        <v>20</v>
      </c>
      <c r="J53" s="334">
        <f aca="true" t="shared" si="2" ref="J53:J62">Y53+AC53+AG53+AK53+AO53+AS53+AW53</f>
        <v>40</v>
      </c>
      <c r="K53" s="408"/>
      <c r="L53" s="409"/>
      <c r="M53" s="410"/>
      <c r="N53" s="411"/>
      <c r="O53" s="412"/>
      <c r="P53" s="413"/>
      <c r="Q53" s="410"/>
      <c r="R53" s="414"/>
      <c r="S53" s="415">
        <f aca="true" t="shared" si="3" ref="S53:T62">K53+M53+O53+Q53</f>
        <v>0</v>
      </c>
      <c r="T53" s="416">
        <f t="shared" si="3"/>
        <v>0</v>
      </c>
      <c r="U53" s="416" t="e">
        <f>#REF!-T53</f>
        <v>#REF!</v>
      </c>
      <c r="V53" s="143" t="s">
        <v>173</v>
      </c>
      <c r="W53" s="84" t="s">
        <v>36</v>
      </c>
      <c r="X53" s="85" t="s">
        <v>20</v>
      </c>
      <c r="Y53" s="108"/>
      <c r="Z53" s="143" t="s">
        <v>173</v>
      </c>
      <c r="AA53" s="84" t="s">
        <v>36</v>
      </c>
      <c r="AB53" s="85" t="s">
        <v>20</v>
      </c>
      <c r="AC53" s="108"/>
      <c r="AD53" s="143" t="s">
        <v>173</v>
      </c>
      <c r="AE53" s="84" t="s">
        <v>36</v>
      </c>
      <c r="AF53" s="85" t="s">
        <v>20</v>
      </c>
      <c r="AG53" s="108"/>
      <c r="AH53" s="143" t="s">
        <v>173</v>
      </c>
      <c r="AI53" s="84" t="s">
        <v>36</v>
      </c>
      <c r="AJ53" s="85" t="s">
        <v>20</v>
      </c>
      <c r="AK53" s="108"/>
      <c r="AL53" s="143" t="s">
        <v>173</v>
      </c>
      <c r="AM53" s="84" t="s">
        <v>36</v>
      </c>
      <c r="AN53" s="85" t="s">
        <v>20</v>
      </c>
      <c r="AO53" s="108">
        <v>20</v>
      </c>
      <c r="AP53" s="143" t="s">
        <v>173</v>
      </c>
      <c r="AQ53" s="84" t="s">
        <v>36</v>
      </c>
      <c r="AR53" s="85" t="s">
        <v>20</v>
      </c>
      <c r="AS53" s="108"/>
      <c r="AT53" s="143" t="s">
        <v>173</v>
      </c>
      <c r="AU53" s="84" t="s">
        <v>36</v>
      </c>
      <c r="AV53" s="85" t="s">
        <v>20</v>
      </c>
      <c r="AW53" s="108">
        <v>20</v>
      </c>
      <c r="AX53" s="29"/>
      <c r="AY53" s="29"/>
      <c r="AZ53" s="29"/>
    </row>
    <row r="54" spans="1:49" s="32" customFormat="1" ht="15.75" hidden="1">
      <c r="A54" s="516"/>
      <c r="B54" s="513" t="s">
        <v>45</v>
      </c>
      <c r="C54" s="513" t="s">
        <v>20</v>
      </c>
      <c r="D54" s="514">
        <v>11.092</v>
      </c>
      <c r="E54" s="514">
        <v>7.134</v>
      </c>
      <c r="F54"/>
      <c r="G54" s="20" t="s">
        <v>174</v>
      </c>
      <c r="H54" s="84" t="s">
        <v>45</v>
      </c>
      <c r="I54" s="85" t="s">
        <v>20</v>
      </c>
      <c r="J54" s="334">
        <f t="shared" si="2"/>
        <v>0</v>
      </c>
      <c r="K54" s="174"/>
      <c r="L54" s="175"/>
      <c r="M54" s="183"/>
      <c r="N54" s="184"/>
      <c r="O54" s="185"/>
      <c r="P54" s="186"/>
      <c r="Q54" s="183"/>
      <c r="R54" s="187"/>
      <c r="S54" s="223">
        <f t="shared" si="3"/>
        <v>0</v>
      </c>
      <c r="T54" s="661">
        <f t="shared" si="3"/>
        <v>0</v>
      </c>
      <c r="U54" s="661" t="e">
        <f>#REF!-T54</f>
        <v>#REF!</v>
      </c>
      <c r="V54" s="20" t="s">
        <v>174</v>
      </c>
      <c r="W54" s="3" t="s">
        <v>45</v>
      </c>
      <c r="X54" s="11" t="s">
        <v>20</v>
      </c>
      <c r="Y54" s="158"/>
      <c r="Z54" s="20" t="s">
        <v>174</v>
      </c>
      <c r="AA54" s="3" t="s">
        <v>45</v>
      </c>
      <c r="AB54" s="11" t="s">
        <v>20</v>
      </c>
      <c r="AC54" s="158"/>
      <c r="AD54" s="20" t="s">
        <v>174</v>
      </c>
      <c r="AE54" s="3" t="s">
        <v>45</v>
      </c>
      <c r="AF54" s="11" t="s">
        <v>20</v>
      </c>
      <c r="AG54" s="158"/>
      <c r="AH54" s="20" t="s">
        <v>174</v>
      </c>
      <c r="AI54" s="3" t="s">
        <v>45</v>
      </c>
      <c r="AJ54" s="11" t="s">
        <v>20</v>
      </c>
      <c r="AK54" s="158"/>
      <c r="AL54" s="20" t="s">
        <v>174</v>
      </c>
      <c r="AM54" s="3" t="s">
        <v>45</v>
      </c>
      <c r="AN54" s="11" t="s">
        <v>20</v>
      </c>
      <c r="AO54" s="158"/>
      <c r="AP54" s="20" t="s">
        <v>174</v>
      </c>
      <c r="AQ54" s="3" t="s">
        <v>45</v>
      </c>
      <c r="AR54" s="11" t="s">
        <v>20</v>
      </c>
      <c r="AS54" s="158"/>
      <c r="AT54" s="20" t="s">
        <v>174</v>
      </c>
      <c r="AU54" s="3" t="s">
        <v>45</v>
      </c>
      <c r="AV54" s="11" t="s">
        <v>20</v>
      </c>
      <c r="AW54" s="158"/>
    </row>
    <row r="55" spans="1:49" s="32" customFormat="1" ht="15.75">
      <c r="A55" s="78"/>
      <c r="B55" s="98" t="s">
        <v>145</v>
      </c>
      <c r="C55" s="98" t="s">
        <v>20</v>
      </c>
      <c r="D55" s="510">
        <v>0.824</v>
      </c>
      <c r="E55" s="510">
        <v>0.824</v>
      </c>
      <c r="F55"/>
      <c r="G55" s="20" t="s">
        <v>175</v>
      </c>
      <c r="H55" s="84" t="s">
        <v>145</v>
      </c>
      <c r="I55" s="85" t="s">
        <v>20</v>
      </c>
      <c r="J55" s="334">
        <f t="shared" si="2"/>
        <v>40</v>
      </c>
      <c r="K55" s="174"/>
      <c r="L55" s="175"/>
      <c r="M55" s="183"/>
      <c r="N55" s="184"/>
      <c r="O55" s="185"/>
      <c r="P55" s="186"/>
      <c r="Q55" s="183"/>
      <c r="R55" s="187"/>
      <c r="S55" s="223">
        <f t="shared" si="3"/>
        <v>0</v>
      </c>
      <c r="T55" s="661">
        <f t="shared" si="3"/>
        <v>0</v>
      </c>
      <c r="U55" s="661" t="e">
        <f>#REF!-T55</f>
        <v>#REF!</v>
      </c>
      <c r="V55" s="20" t="s">
        <v>175</v>
      </c>
      <c r="W55" s="3" t="s">
        <v>145</v>
      </c>
      <c r="X55" s="11" t="s">
        <v>20</v>
      </c>
      <c r="Y55" s="158"/>
      <c r="Z55" s="20" t="s">
        <v>175</v>
      </c>
      <c r="AA55" s="3" t="s">
        <v>145</v>
      </c>
      <c r="AB55" s="11" t="s">
        <v>20</v>
      </c>
      <c r="AC55" s="158"/>
      <c r="AD55" s="20" t="s">
        <v>175</v>
      </c>
      <c r="AE55" s="3" t="s">
        <v>145</v>
      </c>
      <c r="AF55" s="11" t="s">
        <v>20</v>
      </c>
      <c r="AG55" s="158">
        <v>20</v>
      </c>
      <c r="AH55" s="20" t="s">
        <v>175</v>
      </c>
      <c r="AI55" s="3" t="s">
        <v>145</v>
      </c>
      <c r="AJ55" s="11" t="s">
        <v>20</v>
      </c>
      <c r="AK55" s="158">
        <v>20</v>
      </c>
      <c r="AL55" s="20" t="s">
        <v>175</v>
      </c>
      <c r="AM55" s="3" t="s">
        <v>145</v>
      </c>
      <c r="AN55" s="11" t="s">
        <v>20</v>
      </c>
      <c r="AO55" s="158"/>
      <c r="AP55" s="20" t="s">
        <v>175</v>
      </c>
      <c r="AQ55" s="3" t="s">
        <v>145</v>
      </c>
      <c r="AR55" s="11" t="s">
        <v>20</v>
      </c>
      <c r="AS55" s="158"/>
      <c r="AT55" s="20" t="s">
        <v>175</v>
      </c>
      <c r="AU55" s="3" t="s">
        <v>145</v>
      </c>
      <c r="AV55" s="11" t="s">
        <v>20</v>
      </c>
      <c r="AW55" s="158"/>
    </row>
    <row r="56" spans="1:49" s="32" customFormat="1" ht="15.75" hidden="1">
      <c r="A56" s="516"/>
      <c r="B56" s="513" t="s">
        <v>207</v>
      </c>
      <c r="C56" s="513" t="s">
        <v>10</v>
      </c>
      <c r="D56" s="514">
        <v>1.5</v>
      </c>
      <c r="E56" s="514">
        <v>1.5</v>
      </c>
      <c r="F56"/>
      <c r="G56" s="20" t="s">
        <v>173</v>
      </c>
      <c r="H56" s="84" t="s">
        <v>207</v>
      </c>
      <c r="I56" s="85" t="s">
        <v>10</v>
      </c>
      <c r="J56" s="334">
        <f t="shared" si="2"/>
        <v>0</v>
      </c>
      <c r="K56" s="174"/>
      <c r="L56" s="175"/>
      <c r="M56" s="183"/>
      <c r="N56" s="184"/>
      <c r="O56" s="185"/>
      <c r="P56" s="186"/>
      <c r="Q56" s="183"/>
      <c r="R56" s="187"/>
      <c r="S56" s="223">
        <f t="shared" si="3"/>
        <v>0</v>
      </c>
      <c r="T56" s="661">
        <f t="shared" si="3"/>
        <v>0</v>
      </c>
      <c r="U56" s="661" t="e">
        <f>#REF!-T56</f>
        <v>#REF!</v>
      </c>
      <c r="V56" s="20" t="s">
        <v>173</v>
      </c>
      <c r="W56" s="3" t="s">
        <v>207</v>
      </c>
      <c r="X56" s="11" t="s">
        <v>10</v>
      </c>
      <c r="Y56" s="158"/>
      <c r="Z56" s="20" t="s">
        <v>173</v>
      </c>
      <c r="AA56" s="3" t="s">
        <v>207</v>
      </c>
      <c r="AB56" s="11" t="s">
        <v>10</v>
      </c>
      <c r="AC56" s="158"/>
      <c r="AD56" s="20" t="s">
        <v>173</v>
      </c>
      <c r="AE56" s="3" t="s">
        <v>207</v>
      </c>
      <c r="AF56" s="11" t="s">
        <v>10</v>
      </c>
      <c r="AG56" s="158"/>
      <c r="AH56" s="20" t="s">
        <v>173</v>
      </c>
      <c r="AI56" s="3" t="s">
        <v>207</v>
      </c>
      <c r="AJ56" s="11" t="s">
        <v>10</v>
      </c>
      <c r="AK56" s="158"/>
      <c r="AL56" s="20" t="s">
        <v>173</v>
      </c>
      <c r="AM56" s="3" t="s">
        <v>207</v>
      </c>
      <c r="AN56" s="11" t="s">
        <v>10</v>
      </c>
      <c r="AO56" s="158"/>
      <c r="AP56" s="20" t="s">
        <v>173</v>
      </c>
      <c r="AQ56" s="3" t="s">
        <v>207</v>
      </c>
      <c r="AR56" s="11" t="s">
        <v>10</v>
      </c>
      <c r="AS56" s="158"/>
      <c r="AT56" s="20" t="s">
        <v>173</v>
      </c>
      <c r="AU56" s="3" t="s">
        <v>207</v>
      </c>
      <c r="AV56" s="11" t="s">
        <v>10</v>
      </c>
      <c r="AW56" s="158"/>
    </row>
    <row r="57" spans="1:49" s="32" customFormat="1" ht="15.75">
      <c r="A57" s="78"/>
      <c r="B57" s="98" t="s">
        <v>46</v>
      </c>
      <c r="C57" s="98" t="s">
        <v>13</v>
      </c>
      <c r="D57" s="515">
        <v>429</v>
      </c>
      <c r="E57" s="515">
        <v>429</v>
      </c>
      <c r="F57"/>
      <c r="G57" s="20" t="s">
        <v>176</v>
      </c>
      <c r="H57" s="84" t="s">
        <v>46</v>
      </c>
      <c r="I57" s="85" t="s">
        <v>13</v>
      </c>
      <c r="J57" s="333">
        <f t="shared" si="2"/>
        <v>0.126</v>
      </c>
      <c r="K57" s="174"/>
      <c r="L57" s="175"/>
      <c r="M57" s="183"/>
      <c r="N57" s="184"/>
      <c r="O57" s="185">
        <v>0.046</v>
      </c>
      <c r="P57" s="186" t="e">
        <f>O57/$J57*#REF!</f>
        <v>#REF!</v>
      </c>
      <c r="Q57" s="183"/>
      <c r="R57" s="187"/>
      <c r="S57" s="223">
        <f t="shared" si="3"/>
        <v>0.046</v>
      </c>
      <c r="T57" s="661" t="e">
        <f t="shared" si="3"/>
        <v>#REF!</v>
      </c>
      <c r="U57" s="661" t="e">
        <f>#REF!-T57</f>
        <v>#REF!</v>
      </c>
      <c r="V57" s="20" t="s">
        <v>176</v>
      </c>
      <c r="W57" s="3" t="s">
        <v>46</v>
      </c>
      <c r="X57" s="11" t="s">
        <v>13</v>
      </c>
      <c r="Y57" s="206">
        <v>0.02</v>
      </c>
      <c r="Z57" s="20" t="s">
        <v>176</v>
      </c>
      <c r="AA57" s="3" t="s">
        <v>46</v>
      </c>
      <c r="AB57" s="11" t="s">
        <v>13</v>
      </c>
      <c r="AC57" s="158"/>
      <c r="AD57" s="20" t="s">
        <v>176</v>
      </c>
      <c r="AE57" s="3" t="s">
        <v>46</v>
      </c>
      <c r="AF57" s="11" t="s">
        <v>13</v>
      </c>
      <c r="AG57" s="158"/>
      <c r="AH57" s="20" t="s">
        <v>176</v>
      </c>
      <c r="AI57" s="3" t="s">
        <v>46</v>
      </c>
      <c r="AJ57" s="11" t="s">
        <v>13</v>
      </c>
      <c r="AK57" s="158"/>
      <c r="AL57" s="20" t="s">
        <v>176</v>
      </c>
      <c r="AM57" s="3" t="s">
        <v>46</v>
      </c>
      <c r="AN57" s="11" t="s">
        <v>13</v>
      </c>
      <c r="AO57" s="158">
        <v>0.062</v>
      </c>
      <c r="AP57" s="20" t="s">
        <v>176</v>
      </c>
      <c r="AQ57" s="3" t="s">
        <v>46</v>
      </c>
      <c r="AR57" s="11" t="s">
        <v>13</v>
      </c>
      <c r="AS57" s="158">
        <v>0.006</v>
      </c>
      <c r="AT57" s="20" t="s">
        <v>176</v>
      </c>
      <c r="AU57" s="3" t="s">
        <v>46</v>
      </c>
      <c r="AV57" s="11" t="s">
        <v>13</v>
      </c>
      <c r="AW57" s="158">
        <v>0.038</v>
      </c>
    </row>
    <row r="58" spans="1:49" s="32" customFormat="1" ht="15.75" hidden="1">
      <c r="A58" s="78"/>
      <c r="B58" s="98" t="s">
        <v>38</v>
      </c>
      <c r="C58" s="98" t="s">
        <v>10</v>
      </c>
      <c r="D58" s="510">
        <v>4.79</v>
      </c>
      <c r="E58" s="510">
        <v>4.79</v>
      </c>
      <c r="F58"/>
      <c r="G58" s="20" t="s">
        <v>177</v>
      </c>
      <c r="H58" s="84" t="s">
        <v>38</v>
      </c>
      <c r="I58" s="85" t="s">
        <v>10</v>
      </c>
      <c r="J58" s="334">
        <f t="shared" si="2"/>
        <v>0</v>
      </c>
      <c r="K58" s="174"/>
      <c r="L58" s="175"/>
      <c r="M58" s="183"/>
      <c r="N58" s="184"/>
      <c r="O58" s="185"/>
      <c r="P58" s="186"/>
      <c r="Q58" s="183"/>
      <c r="R58" s="187"/>
      <c r="S58" s="223">
        <f t="shared" si="3"/>
        <v>0</v>
      </c>
      <c r="T58" s="661">
        <f t="shared" si="3"/>
        <v>0</v>
      </c>
      <c r="U58" s="661" t="e">
        <f>#REF!-T58</f>
        <v>#REF!</v>
      </c>
      <c r="V58" s="20" t="s">
        <v>177</v>
      </c>
      <c r="W58" s="3" t="s">
        <v>38</v>
      </c>
      <c r="X58" s="11" t="s">
        <v>10</v>
      </c>
      <c r="Y58" s="158"/>
      <c r="Z58" s="20" t="s">
        <v>177</v>
      </c>
      <c r="AA58" s="3" t="s">
        <v>38</v>
      </c>
      <c r="AB58" s="11" t="s">
        <v>10</v>
      </c>
      <c r="AC58" s="158"/>
      <c r="AD58" s="20" t="s">
        <v>177</v>
      </c>
      <c r="AE58" s="3" t="s">
        <v>38</v>
      </c>
      <c r="AF58" s="11" t="s">
        <v>10</v>
      </c>
      <c r="AG58" s="158"/>
      <c r="AH58" s="20" t="s">
        <v>177</v>
      </c>
      <c r="AI58" s="3" t="s">
        <v>38</v>
      </c>
      <c r="AJ58" s="11" t="s">
        <v>10</v>
      </c>
      <c r="AK58" s="158"/>
      <c r="AL58" s="20" t="s">
        <v>177</v>
      </c>
      <c r="AM58" s="3" t="s">
        <v>38</v>
      </c>
      <c r="AN58" s="11" t="s">
        <v>10</v>
      </c>
      <c r="AO58" s="158"/>
      <c r="AP58" s="20" t="s">
        <v>177</v>
      </c>
      <c r="AQ58" s="3" t="s">
        <v>38</v>
      </c>
      <c r="AR58" s="11" t="s">
        <v>10</v>
      </c>
      <c r="AS58" s="158"/>
      <c r="AT58" s="20" t="s">
        <v>177</v>
      </c>
      <c r="AU58" s="3" t="s">
        <v>38</v>
      </c>
      <c r="AV58" s="11" t="s">
        <v>10</v>
      </c>
      <c r="AW58" s="158"/>
    </row>
    <row r="59" spans="1:49" s="32" customFormat="1" ht="15.75">
      <c r="A59" s="78"/>
      <c r="B59" s="98" t="s">
        <v>351</v>
      </c>
      <c r="C59" s="98" t="s">
        <v>10</v>
      </c>
      <c r="D59" s="510">
        <v>0.55</v>
      </c>
      <c r="E59" s="510">
        <v>0.55</v>
      </c>
      <c r="F59"/>
      <c r="G59" s="143" t="s">
        <v>178</v>
      </c>
      <c r="H59" s="84" t="s">
        <v>351</v>
      </c>
      <c r="I59" s="85" t="s">
        <v>10</v>
      </c>
      <c r="J59" s="334">
        <f t="shared" si="2"/>
        <v>27</v>
      </c>
      <c r="K59" s="174"/>
      <c r="L59" s="175"/>
      <c r="M59" s="183"/>
      <c r="N59" s="184"/>
      <c r="O59" s="185"/>
      <c r="P59" s="186"/>
      <c r="Q59" s="183"/>
      <c r="R59" s="187"/>
      <c r="S59" s="223"/>
      <c r="T59" s="661"/>
      <c r="U59" s="661"/>
      <c r="V59" s="143" t="s">
        <v>178</v>
      </c>
      <c r="W59" s="3" t="s">
        <v>351</v>
      </c>
      <c r="X59" s="11" t="s">
        <v>10</v>
      </c>
      <c r="Y59" s="158"/>
      <c r="Z59" s="143" t="s">
        <v>178</v>
      </c>
      <c r="AA59" s="3" t="s">
        <v>351</v>
      </c>
      <c r="AB59" s="11" t="s">
        <v>10</v>
      </c>
      <c r="AC59" s="158"/>
      <c r="AD59" s="143" t="s">
        <v>178</v>
      </c>
      <c r="AE59" s="3" t="s">
        <v>351</v>
      </c>
      <c r="AF59" s="11" t="s">
        <v>10</v>
      </c>
      <c r="AG59" s="158">
        <v>10</v>
      </c>
      <c r="AH59" s="143" t="s">
        <v>178</v>
      </c>
      <c r="AI59" s="3" t="s">
        <v>351</v>
      </c>
      <c r="AJ59" s="11" t="s">
        <v>10</v>
      </c>
      <c r="AK59" s="158">
        <v>7</v>
      </c>
      <c r="AL59" s="143" t="s">
        <v>178</v>
      </c>
      <c r="AM59" s="3" t="s">
        <v>351</v>
      </c>
      <c r="AN59" s="11" t="s">
        <v>10</v>
      </c>
      <c r="AO59" s="158">
        <v>10</v>
      </c>
      <c r="AP59" s="143" t="s">
        <v>178</v>
      </c>
      <c r="AQ59" s="3" t="s">
        <v>351</v>
      </c>
      <c r="AR59" s="11" t="s">
        <v>10</v>
      </c>
      <c r="AS59" s="158"/>
      <c r="AT59" s="143" t="s">
        <v>178</v>
      </c>
      <c r="AU59" s="3" t="s">
        <v>351</v>
      </c>
      <c r="AV59" s="11" t="s">
        <v>10</v>
      </c>
      <c r="AW59" s="158"/>
    </row>
    <row r="60" spans="1:49" s="32" customFormat="1" ht="15.75">
      <c r="A60" s="78"/>
      <c r="B60" s="98" t="s">
        <v>40</v>
      </c>
      <c r="C60" s="98" t="s">
        <v>20</v>
      </c>
      <c r="D60" s="510">
        <v>0.107</v>
      </c>
      <c r="E60" s="510">
        <v>0.107</v>
      </c>
      <c r="F60"/>
      <c r="G60" s="20" t="s">
        <v>142</v>
      </c>
      <c r="H60" s="84" t="s">
        <v>40</v>
      </c>
      <c r="I60" s="85" t="s">
        <v>20</v>
      </c>
      <c r="J60" s="334">
        <f t="shared" si="2"/>
        <v>44</v>
      </c>
      <c r="K60" s="174">
        <v>10</v>
      </c>
      <c r="L60" s="175" t="e">
        <f>K60/$J60*#REF!</f>
        <v>#REF!</v>
      </c>
      <c r="M60" s="183">
        <v>9</v>
      </c>
      <c r="N60" s="184" t="e">
        <f>M60/$J60*#REF!</f>
        <v>#REF!</v>
      </c>
      <c r="O60" s="185">
        <v>9</v>
      </c>
      <c r="P60" s="186" t="e">
        <f>O60/$J60*#REF!</f>
        <v>#REF!</v>
      </c>
      <c r="Q60" s="183">
        <v>10</v>
      </c>
      <c r="R60" s="187" t="e">
        <f>Q60/$J60*#REF!</f>
        <v>#REF!</v>
      </c>
      <c r="S60" s="223">
        <f t="shared" si="3"/>
        <v>38</v>
      </c>
      <c r="T60" s="661" t="e">
        <f t="shared" si="3"/>
        <v>#REF!</v>
      </c>
      <c r="U60" s="661" t="e">
        <f>#REF!-T60</f>
        <v>#REF!</v>
      </c>
      <c r="V60" s="20" t="s">
        <v>142</v>
      </c>
      <c r="W60" s="3" t="s">
        <v>40</v>
      </c>
      <c r="X60" s="11" t="s">
        <v>20</v>
      </c>
      <c r="Y60" s="158">
        <v>5</v>
      </c>
      <c r="Z60" s="20" t="s">
        <v>142</v>
      </c>
      <c r="AA60" s="3" t="s">
        <v>40</v>
      </c>
      <c r="AB60" s="11" t="s">
        <v>20</v>
      </c>
      <c r="AC60" s="158">
        <v>2</v>
      </c>
      <c r="AD60" s="20" t="s">
        <v>142</v>
      </c>
      <c r="AE60" s="3" t="s">
        <v>40</v>
      </c>
      <c r="AF60" s="11" t="s">
        <v>20</v>
      </c>
      <c r="AG60" s="158">
        <v>7</v>
      </c>
      <c r="AH60" s="20" t="s">
        <v>142</v>
      </c>
      <c r="AI60" s="3" t="s">
        <v>40</v>
      </c>
      <c r="AJ60" s="11" t="s">
        <v>20</v>
      </c>
      <c r="AK60" s="158">
        <v>17</v>
      </c>
      <c r="AL60" s="20" t="s">
        <v>142</v>
      </c>
      <c r="AM60" s="3" t="s">
        <v>40</v>
      </c>
      <c r="AN60" s="11" t="s">
        <v>20</v>
      </c>
      <c r="AO60" s="158">
        <v>5</v>
      </c>
      <c r="AP60" s="20" t="s">
        <v>142</v>
      </c>
      <c r="AQ60" s="3" t="s">
        <v>40</v>
      </c>
      <c r="AR60" s="11" t="s">
        <v>20</v>
      </c>
      <c r="AS60" s="158">
        <v>5</v>
      </c>
      <c r="AT60" s="20" t="s">
        <v>142</v>
      </c>
      <c r="AU60" s="3" t="s">
        <v>40</v>
      </c>
      <c r="AV60" s="11" t="s">
        <v>20</v>
      </c>
      <c r="AW60" s="158">
        <v>3</v>
      </c>
    </row>
    <row r="61" spans="1:49" s="32" customFormat="1" ht="15.75" hidden="1">
      <c r="A61" s="78"/>
      <c r="B61" s="522" t="s">
        <v>71</v>
      </c>
      <c r="C61" s="113" t="s">
        <v>20</v>
      </c>
      <c r="D61" s="319"/>
      <c r="E61" s="319"/>
      <c r="F61"/>
      <c r="G61" s="20" t="s">
        <v>143</v>
      </c>
      <c r="H61" s="84" t="s">
        <v>71</v>
      </c>
      <c r="I61" s="85" t="s">
        <v>20</v>
      </c>
      <c r="J61" s="334">
        <f t="shared" si="2"/>
        <v>0</v>
      </c>
      <c r="K61" s="174"/>
      <c r="L61" s="175"/>
      <c r="M61" s="183"/>
      <c r="N61" s="184"/>
      <c r="O61" s="185"/>
      <c r="P61" s="186"/>
      <c r="Q61" s="183"/>
      <c r="R61" s="187"/>
      <c r="S61" s="223">
        <f t="shared" si="3"/>
        <v>0</v>
      </c>
      <c r="T61" s="661">
        <f t="shared" si="3"/>
        <v>0</v>
      </c>
      <c r="U61" s="661" t="e">
        <f>#REF!-T61</f>
        <v>#REF!</v>
      </c>
      <c r="V61" s="20" t="s">
        <v>143</v>
      </c>
      <c r="W61" s="3" t="s">
        <v>71</v>
      </c>
      <c r="X61" s="11" t="s">
        <v>20</v>
      </c>
      <c r="Y61" s="158"/>
      <c r="Z61" s="20" t="s">
        <v>143</v>
      </c>
      <c r="AA61" s="3" t="s">
        <v>71</v>
      </c>
      <c r="AB61" s="11" t="s">
        <v>20</v>
      </c>
      <c r="AC61" s="158"/>
      <c r="AD61" s="20" t="s">
        <v>143</v>
      </c>
      <c r="AE61" s="3" t="s">
        <v>71</v>
      </c>
      <c r="AF61" s="11" t="s">
        <v>20</v>
      </c>
      <c r="AG61" s="158"/>
      <c r="AH61" s="20" t="s">
        <v>143</v>
      </c>
      <c r="AI61" s="3" t="s">
        <v>71</v>
      </c>
      <c r="AJ61" s="11" t="s">
        <v>20</v>
      </c>
      <c r="AK61" s="158"/>
      <c r="AL61" s="20" t="s">
        <v>143</v>
      </c>
      <c r="AM61" s="3" t="s">
        <v>71</v>
      </c>
      <c r="AN61" s="11" t="s">
        <v>20</v>
      </c>
      <c r="AO61" s="158"/>
      <c r="AP61" s="20" t="s">
        <v>143</v>
      </c>
      <c r="AQ61" s="3" t="s">
        <v>71</v>
      </c>
      <c r="AR61" s="11" t="s">
        <v>20</v>
      </c>
      <c r="AS61" s="158"/>
      <c r="AT61" s="20" t="s">
        <v>143</v>
      </c>
      <c r="AU61" s="3" t="s">
        <v>71</v>
      </c>
      <c r="AV61" s="11" t="s">
        <v>20</v>
      </c>
      <c r="AW61" s="158"/>
    </row>
    <row r="62" spans="1:49" s="32" customFormat="1" ht="15.75">
      <c r="A62" s="140"/>
      <c r="B62" s="110" t="s">
        <v>381</v>
      </c>
      <c r="C62" s="113" t="s">
        <v>10</v>
      </c>
      <c r="D62" s="510">
        <v>4.936</v>
      </c>
      <c r="E62" s="510">
        <v>6.331</v>
      </c>
      <c r="F62"/>
      <c r="G62" s="20" t="s">
        <v>144</v>
      </c>
      <c r="H62" s="110" t="s">
        <v>381</v>
      </c>
      <c r="I62" s="85" t="s">
        <v>23</v>
      </c>
      <c r="J62" s="334">
        <f t="shared" si="2"/>
        <v>2</v>
      </c>
      <c r="K62" s="174"/>
      <c r="L62" s="175"/>
      <c r="M62" s="183"/>
      <c r="N62" s="184"/>
      <c r="O62" s="185"/>
      <c r="P62" s="186"/>
      <c r="Q62" s="183"/>
      <c r="R62" s="187"/>
      <c r="S62" s="223">
        <f t="shared" si="3"/>
        <v>0</v>
      </c>
      <c r="T62" s="661">
        <f t="shared" si="3"/>
        <v>0</v>
      </c>
      <c r="U62" s="661" t="e">
        <f>#REF!-T62</f>
        <v>#REF!</v>
      </c>
      <c r="V62" s="20" t="s">
        <v>144</v>
      </c>
      <c r="W62" s="110" t="s">
        <v>381</v>
      </c>
      <c r="X62" s="11" t="s">
        <v>23</v>
      </c>
      <c r="Y62" s="158"/>
      <c r="Z62" s="20" t="s">
        <v>144</v>
      </c>
      <c r="AA62" s="110" t="s">
        <v>381</v>
      </c>
      <c r="AB62" s="11" t="s">
        <v>23</v>
      </c>
      <c r="AC62" s="158"/>
      <c r="AD62" s="20" t="s">
        <v>144</v>
      </c>
      <c r="AE62" s="110" t="s">
        <v>381</v>
      </c>
      <c r="AF62" s="11" t="s">
        <v>23</v>
      </c>
      <c r="AG62" s="158">
        <v>2</v>
      </c>
      <c r="AH62" s="20" t="s">
        <v>144</v>
      </c>
      <c r="AI62" s="110" t="s">
        <v>381</v>
      </c>
      <c r="AJ62" s="11" t="s">
        <v>23</v>
      </c>
      <c r="AK62" s="158"/>
      <c r="AL62" s="20" t="s">
        <v>144</v>
      </c>
      <c r="AM62" s="110" t="s">
        <v>381</v>
      </c>
      <c r="AN62" s="11" t="s">
        <v>23</v>
      </c>
      <c r="AO62" s="158"/>
      <c r="AP62" s="20" t="s">
        <v>144</v>
      </c>
      <c r="AQ62" s="110" t="s">
        <v>381</v>
      </c>
      <c r="AR62" s="11" t="s">
        <v>23</v>
      </c>
      <c r="AS62" s="158"/>
      <c r="AT62" s="20" t="s">
        <v>144</v>
      </c>
      <c r="AU62" s="110" t="s">
        <v>381</v>
      </c>
      <c r="AV62" s="11" t="s">
        <v>23</v>
      </c>
      <c r="AW62" s="158"/>
    </row>
    <row r="63" spans="1:135" s="32" customFormat="1" ht="15.75">
      <c r="A63" s="78"/>
      <c r="B63" s="98"/>
      <c r="C63" s="98"/>
      <c r="D63" s="100">
        <v>0</v>
      </c>
      <c r="E63" s="100">
        <v>0</v>
      </c>
      <c r="F63"/>
      <c r="G63" s="39"/>
      <c r="H63" s="103" t="s">
        <v>216</v>
      </c>
      <c r="I63" s="104"/>
      <c r="J63" s="104"/>
      <c r="K63" s="70"/>
      <c r="L63" s="49" t="e">
        <f>SUM(L53:L62)</f>
        <v>#REF!</v>
      </c>
      <c r="M63" s="72"/>
      <c r="N63" s="49" t="e">
        <f>SUM(N53:N62)</f>
        <v>#REF!</v>
      </c>
      <c r="O63" s="70"/>
      <c r="P63" s="49" t="e">
        <f>SUM(P53:P62)</f>
        <v>#REF!</v>
      </c>
      <c r="Q63" s="72"/>
      <c r="R63" s="49" t="e">
        <f>SUM(R53:R62)</f>
        <v>#REF!</v>
      </c>
      <c r="S63" s="161"/>
      <c r="T63" s="161" t="e">
        <f>T57+T58+T60</f>
        <v>#REF!</v>
      </c>
      <c r="U63" s="161" t="e">
        <f>U57+U58+U60</f>
        <v>#REF!</v>
      </c>
      <c r="V63" s="39"/>
      <c r="W63" s="41" t="s">
        <v>216</v>
      </c>
      <c r="X63" s="43"/>
      <c r="Y63" s="160"/>
      <c r="Z63" s="39"/>
      <c r="AA63" s="41" t="s">
        <v>216</v>
      </c>
      <c r="AB63" s="43"/>
      <c r="AC63" s="160"/>
      <c r="AD63" s="39"/>
      <c r="AE63" s="41" t="s">
        <v>216</v>
      </c>
      <c r="AF63" s="43"/>
      <c r="AG63" s="160"/>
      <c r="AH63" s="39"/>
      <c r="AI63" s="41" t="s">
        <v>216</v>
      </c>
      <c r="AJ63" s="43"/>
      <c r="AK63" s="160"/>
      <c r="AL63" s="39"/>
      <c r="AM63" s="41" t="s">
        <v>216</v>
      </c>
      <c r="AN63" s="43"/>
      <c r="AO63" s="160"/>
      <c r="AP63" s="39"/>
      <c r="AQ63" s="41" t="s">
        <v>216</v>
      </c>
      <c r="AR63" s="43"/>
      <c r="AS63" s="160"/>
      <c r="AT63" s="39"/>
      <c r="AU63" s="41" t="s">
        <v>216</v>
      </c>
      <c r="AV63" s="43"/>
      <c r="AW63" s="160"/>
      <c r="BB63" s="49">
        <f>SUM(BB53:BB62)</f>
        <v>0</v>
      </c>
      <c r="BJ63" s="49">
        <f>SUM(BJ53:BJ62)</f>
        <v>0</v>
      </c>
      <c r="BR63" s="49">
        <f>SUM(BR53:BR62)</f>
        <v>0</v>
      </c>
      <c r="BZ63" s="49">
        <f>SUM(BZ53:BZ62)</f>
        <v>0</v>
      </c>
      <c r="CH63" s="49">
        <f>SUM(CH53:CH62)</f>
        <v>0</v>
      </c>
      <c r="CX63" s="49">
        <f>SUM(CX53:CX62)</f>
        <v>0</v>
      </c>
      <c r="DF63" s="49">
        <f>SUM(DF53:DF62)</f>
        <v>0</v>
      </c>
      <c r="DN63" s="49">
        <f>SUM(DN53:DN62)</f>
        <v>0</v>
      </c>
      <c r="DW63" s="49">
        <f>SUM(DW53:DW62)</f>
        <v>0</v>
      </c>
      <c r="EE63" s="49">
        <f>SUM(EE53:EE62)</f>
        <v>0</v>
      </c>
    </row>
    <row r="64" spans="1:49" s="453" customFormat="1" ht="18.75">
      <c r="A64" s="404"/>
      <c r="B64" s="395"/>
      <c r="C64" s="395"/>
      <c r="D64" s="508">
        <v>0</v>
      </c>
      <c r="E64" s="508">
        <v>0</v>
      </c>
      <c r="G64" s="448"/>
      <c r="H64" s="372" t="s">
        <v>47</v>
      </c>
      <c r="I64" s="449"/>
      <c r="J64" s="456"/>
      <c r="K64" s="457"/>
      <c r="L64" s="458"/>
      <c r="M64" s="459"/>
      <c r="N64" s="460"/>
      <c r="O64" s="461"/>
      <c r="P64" s="462"/>
      <c r="Q64" s="459"/>
      <c r="R64" s="463"/>
      <c r="S64" s="464"/>
      <c r="T64" s="465"/>
      <c r="U64" s="465"/>
      <c r="V64" s="448"/>
      <c r="W64" s="372" t="s">
        <v>47</v>
      </c>
      <c r="X64" s="449"/>
      <c r="Y64" s="450"/>
      <c r="Z64" s="448"/>
      <c r="AA64" s="372" t="s">
        <v>47</v>
      </c>
      <c r="AB64" s="449"/>
      <c r="AC64" s="450"/>
      <c r="AD64" s="448"/>
      <c r="AE64" s="372" t="s">
        <v>47</v>
      </c>
      <c r="AF64" s="449"/>
      <c r="AG64" s="450"/>
      <c r="AH64" s="448"/>
      <c r="AI64" s="372" t="s">
        <v>47</v>
      </c>
      <c r="AJ64" s="449"/>
      <c r="AK64" s="450"/>
      <c r="AL64" s="448"/>
      <c r="AM64" s="372" t="s">
        <v>47</v>
      </c>
      <c r="AN64" s="449"/>
      <c r="AO64" s="450"/>
      <c r="AP64" s="448"/>
      <c r="AQ64" s="372" t="s">
        <v>47</v>
      </c>
      <c r="AR64" s="449"/>
      <c r="AS64" s="450"/>
      <c r="AT64" s="448"/>
      <c r="AU64" s="372" t="s">
        <v>47</v>
      </c>
      <c r="AV64" s="449"/>
      <c r="AW64" s="450"/>
    </row>
    <row r="65" spans="1:49" s="468" customFormat="1" ht="33">
      <c r="A65" s="423"/>
      <c r="B65" s="426" t="s">
        <v>382</v>
      </c>
      <c r="C65" s="424" t="s">
        <v>23</v>
      </c>
      <c r="D65" s="523">
        <f>SUM(D66:D71)</f>
        <v>69.912</v>
      </c>
      <c r="E65" s="523">
        <f>SUM(E66:E71)</f>
        <v>213.10199999999998</v>
      </c>
      <c r="G65" s="425" t="s">
        <v>157</v>
      </c>
      <c r="H65" s="426" t="s">
        <v>382</v>
      </c>
      <c r="I65" s="469" t="s">
        <v>23</v>
      </c>
      <c r="J65" s="470">
        <f aca="true" t="shared" si="4" ref="J65:J81">Y65+AC65+AG65+AK65+AO65+AS65+AW65</f>
        <v>18</v>
      </c>
      <c r="K65" s="471">
        <v>3</v>
      </c>
      <c r="L65" s="472" t="e">
        <f>K65/$J65*#REF!+150+50+18</f>
        <v>#REF!</v>
      </c>
      <c r="M65" s="473">
        <v>6</v>
      </c>
      <c r="N65" s="474" t="e">
        <f>M65/$J65*#REF!-150-50-18</f>
        <v>#REF!</v>
      </c>
      <c r="O65" s="475">
        <v>6</v>
      </c>
      <c r="P65" s="476" t="e">
        <f>O65/$J65*#REF!</f>
        <v>#REF!</v>
      </c>
      <c r="Q65" s="473"/>
      <c r="R65" s="477"/>
      <c r="S65" s="478">
        <f>K65+M65+O65+Q65</f>
        <v>15</v>
      </c>
      <c r="T65" s="479" t="e">
        <f>L65+N65+P65+R65</f>
        <v>#REF!</v>
      </c>
      <c r="U65" s="479" t="e">
        <f>#REF!-T65</f>
        <v>#REF!</v>
      </c>
      <c r="V65" s="425" t="s">
        <v>157</v>
      </c>
      <c r="W65" s="426" t="s">
        <v>382</v>
      </c>
      <c r="X65" s="469" t="s">
        <v>23</v>
      </c>
      <c r="Y65" s="480">
        <v>9</v>
      </c>
      <c r="Z65" s="425" t="s">
        <v>157</v>
      </c>
      <c r="AA65" s="426" t="s">
        <v>382</v>
      </c>
      <c r="AB65" s="469" t="s">
        <v>23</v>
      </c>
      <c r="AC65" s="480"/>
      <c r="AD65" s="425" t="s">
        <v>157</v>
      </c>
      <c r="AE65" s="426" t="s">
        <v>382</v>
      </c>
      <c r="AF65" s="469" t="s">
        <v>23</v>
      </c>
      <c r="AG65" s="480">
        <f>AG66</f>
        <v>3</v>
      </c>
      <c r="AH65" s="425" t="s">
        <v>157</v>
      </c>
      <c r="AI65" s="426" t="s">
        <v>382</v>
      </c>
      <c r="AJ65" s="469" t="s">
        <v>23</v>
      </c>
      <c r="AK65" s="480">
        <v>4</v>
      </c>
      <c r="AL65" s="425" t="s">
        <v>157</v>
      </c>
      <c r="AM65" s="426" t="s">
        <v>382</v>
      </c>
      <c r="AN65" s="469" t="s">
        <v>23</v>
      </c>
      <c r="AO65" s="480"/>
      <c r="AP65" s="425" t="s">
        <v>157</v>
      </c>
      <c r="AQ65" s="426" t="s">
        <v>382</v>
      </c>
      <c r="AR65" s="469" t="s">
        <v>23</v>
      </c>
      <c r="AS65" s="480">
        <v>2</v>
      </c>
      <c r="AT65" s="425" t="s">
        <v>157</v>
      </c>
      <c r="AU65" s="426" t="s">
        <v>382</v>
      </c>
      <c r="AV65" s="469" t="s">
        <v>23</v>
      </c>
      <c r="AW65" s="480"/>
    </row>
    <row r="66" spans="1:49" s="507" customFormat="1" ht="15.75">
      <c r="A66" s="516"/>
      <c r="B66" s="513" t="s">
        <v>363</v>
      </c>
      <c r="C66" s="513" t="s">
        <v>215</v>
      </c>
      <c r="D66" s="512">
        <v>47.124</v>
      </c>
      <c r="E66" s="512">
        <v>194.272</v>
      </c>
      <c r="G66" s="20" t="s">
        <v>179</v>
      </c>
      <c r="H66" s="666" t="s">
        <v>363</v>
      </c>
      <c r="I66" s="339" t="s">
        <v>215</v>
      </c>
      <c r="J66" s="334">
        <f t="shared" si="4"/>
        <v>18</v>
      </c>
      <c r="K66" s="540"/>
      <c r="L66" s="541"/>
      <c r="M66" s="542"/>
      <c r="N66" s="543"/>
      <c r="O66" s="544"/>
      <c r="P66" s="545"/>
      <c r="Q66" s="542"/>
      <c r="R66" s="546"/>
      <c r="S66" s="547"/>
      <c r="T66" s="665"/>
      <c r="U66" s="665"/>
      <c r="V66" s="20" t="s">
        <v>179</v>
      </c>
      <c r="W66" s="338" t="s">
        <v>363</v>
      </c>
      <c r="X66" s="339" t="s">
        <v>215</v>
      </c>
      <c r="Y66" s="108">
        <v>9</v>
      </c>
      <c r="Z66" s="20" t="s">
        <v>179</v>
      </c>
      <c r="AA66" s="338" t="s">
        <v>363</v>
      </c>
      <c r="AB66" s="339" t="s">
        <v>215</v>
      </c>
      <c r="AC66" s="108"/>
      <c r="AD66" s="20" t="s">
        <v>179</v>
      </c>
      <c r="AE66" s="338" t="s">
        <v>363</v>
      </c>
      <c r="AF66" s="339" t="s">
        <v>215</v>
      </c>
      <c r="AG66" s="108">
        <f>2+1</f>
        <v>3</v>
      </c>
      <c r="AH66" s="20" t="s">
        <v>179</v>
      </c>
      <c r="AI66" s="338" t="s">
        <v>363</v>
      </c>
      <c r="AJ66" s="339" t="s">
        <v>215</v>
      </c>
      <c r="AK66" s="108">
        <v>4</v>
      </c>
      <c r="AL66" s="20" t="s">
        <v>179</v>
      </c>
      <c r="AM66" s="338" t="s">
        <v>363</v>
      </c>
      <c r="AN66" s="339" t="s">
        <v>215</v>
      </c>
      <c r="AO66" s="108"/>
      <c r="AP66" s="20" t="s">
        <v>179</v>
      </c>
      <c r="AQ66" s="338" t="s">
        <v>363</v>
      </c>
      <c r="AR66" s="339" t="s">
        <v>215</v>
      </c>
      <c r="AS66" s="108">
        <v>2</v>
      </c>
      <c r="AT66" s="20" t="s">
        <v>179</v>
      </c>
      <c r="AU66" s="338" t="s">
        <v>363</v>
      </c>
      <c r="AV66" s="339" t="s">
        <v>215</v>
      </c>
      <c r="AW66" s="108"/>
    </row>
    <row r="67" spans="1:49" s="32" customFormat="1" ht="15.75">
      <c r="A67" s="78"/>
      <c r="B67" s="98" t="s">
        <v>48</v>
      </c>
      <c r="C67" s="98" t="s">
        <v>20</v>
      </c>
      <c r="D67" s="510">
        <v>3.152</v>
      </c>
      <c r="E67" s="510">
        <v>3.152</v>
      </c>
      <c r="F67"/>
      <c r="G67" s="20" t="s">
        <v>180</v>
      </c>
      <c r="H67" s="84" t="s">
        <v>48</v>
      </c>
      <c r="I67" s="85" t="s">
        <v>20</v>
      </c>
      <c r="J67" s="334">
        <f t="shared" si="4"/>
        <v>29</v>
      </c>
      <c r="K67" s="174">
        <v>11</v>
      </c>
      <c r="L67" s="175" t="e">
        <f>K67/$J67*#REF!</f>
        <v>#REF!</v>
      </c>
      <c r="M67" s="183"/>
      <c r="N67" s="184"/>
      <c r="O67" s="185"/>
      <c r="P67" s="186"/>
      <c r="Q67" s="183"/>
      <c r="R67" s="187"/>
      <c r="S67" s="223">
        <f>K67+M67+O67+Q67</f>
        <v>11</v>
      </c>
      <c r="T67" s="661" t="e">
        <f>L67+N67+P67+R67</f>
        <v>#REF!</v>
      </c>
      <c r="U67" s="661" t="e">
        <f>#REF!-T67</f>
        <v>#REF!</v>
      </c>
      <c r="V67" s="20" t="s">
        <v>180</v>
      </c>
      <c r="W67" s="3" t="s">
        <v>48</v>
      </c>
      <c r="X67" s="11" t="s">
        <v>20</v>
      </c>
      <c r="Y67" s="158">
        <v>10</v>
      </c>
      <c r="Z67" s="20" t="s">
        <v>180</v>
      </c>
      <c r="AA67" s="3" t="s">
        <v>48</v>
      </c>
      <c r="AB67" s="11" t="s">
        <v>20</v>
      </c>
      <c r="AC67" s="158"/>
      <c r="AD67" s="20" t="s">
        <v>180</v>
      </c>
      <c r="AE67" s="3" t="s">
        <v>48</v>
      </c>
      <c r="AF67" s="11" t="s">
        <v>20</v>
      </c>
      <c r="AG67" s="158">
        <v>7</v>
      </c>
      <c r="AH67" s="20" t="s">
        <v>180</v>
      </c>
      <c r="AI67" s="3" t="s">
        <v>48</v>
      </c>
      <c r="AJ67" s="11" t="s">
        <v>20</v>
      </c>
      <c r="AK67" s="158">
        <v>8</v>
      </c>
      <c r="AL67" s="20" t="s">
        <v>180</v>
      </c>
      <c r="AM67" s="3" t="s">
        <v>48</v>
      </c>
      <c r="AN67" s="11" t="s">
        <v>20</v>
      </c>
      <c r="AO67" s="158"/>
      <c r="AP67" s="20" t="s">
        <v>180</v>
      </c>
      <c r="AQ67" s="3" t="s">
        <v>48</v>
      </c>
      <c r="AR67" s="11" t="s">
        <v>20</v>
      </c>
      <c r="AS67" s="158">
        <v>4</v>
      </c>
      <c r="AT67" s="20" t="s">
        <v>180</v>
      </c>
      <c r="AU67" s="3" t="s">
        <v>48</v>
      </c>
      <c r="AV67" s="11" t="s">
        <v>20</v>
      </c>
      <c r="AW67" s="158"/>
    </row>
    <row r="68" spans="1:49" s="32" customFormat="1" ht="15.75">
      <c r="A68" s="78"/>
      <c r="B68" s="98" t="s">
        <v>352</v>
      </c>
      <c r="C68" s="98" t="s">
        <v>20</v>
      </c>
      <c r="D68" s="510">
        <v>3.152</v>
      </c>
      <c r="E68" s="510">
        <v>3.152</v>
      </c>
      <c r="F68"/>
      <c r="G68" s="20" t="s">
        <v>181</v>
      </c>
      <c r="H68" s="84" t="s">
        <v>353</v>
      </c>
      <c r="I68" s="85" t="s">
        <v>20</v>
      </c>
      <c r="J68" s="334">
        <f t="shared" si="4"/>
        <v>17</v>
      </c>
      <c r="K68" s="174"/>
      <c r="L68" s="175"/>
      <c r="M68" s="183"/>
      <c r="N68" s="184"/>
      <c r="O68" s="185"/>
      <c r="P68" s="186"/>
      <c r="Q68" s="183"/>
      <c r="R68" s="187"/>
      <c r="S68" s="223"/>
      <c r="T68" s="661"/>
      <c r="U68" s="661"/>
      <c r="V68" s="20" t="s">
        <v>181</v>
      </c>
      <c r="W68" s="3" t="s">
        <v>353</v>
      </c>
      <c r="X68" s="11" t="s">
        <v>20</v>
      </c>
      <c r="Y68" s="158">
        <v>9</v>
      </c>
      <c r="Z68" s="20" t="s">
        <v>181</v>
      </c>
      <c r="AA68" s="3" t="s">
        <v>353</v>
      </c>
      <c r="AB68" s="11" t="s">
        <v>20</v>
      </c>
      <c r="AC68" s="158"/>
      <c r="AD68" s="20" t="s">
        <v>181</v>
      </c>
      <c r="AE68" s="3" t="s">
        <v>353</v>
      </c>
      <c r="AF68" s="11" t="s">
        <v>20</v>
      </c>
      <c r="AG68" s="158">
        <v>2</v>
      </c>
      <c r="AH68" s="20" t="s">
        <v>181</v>
      </c>
      <c r="AI68" s="3" t="s">
        <v>353</v>
      </c>
      <c r="AJ68" s="11" t="s">
        <v>20</v>
      </c>
      <c r="AK68" s="158">
        <v>4</v>
      </c>
      <c r="AL68" s="20" t="s">
        <v>181</v>
      </c>
      <c r="AM68" s="3" t="s">
        <v>353</v>
      </c>
      <c r="AN68" s="11" t="s">
        <v>20</v>
      </c>
      <c r="AO68" s="158"/>
      <c r="AP68" s="20" t="s">
        <v>181</v>
      </c>
      <c r="AQ68" s="3" t="s">
        <v>353</v>
      </c>
      <c r="AR68" s="11" t="s">
        <v>20</v>
      </c>
      <c r="AS68" s="158">
        <v>2</v>
      </c>
      <c r="AT68" s="20" t="s">
        <v>181</v>
      </c>
      <c r="AU68" s="3" t="s">
        <v>353</v>
      </c>
      <c r="AV68" s="11" t="s">
        <v>20</v>
      </c>
      <c r="AW68" s="158"/>
    </row>
    <row r="69" spans="1:49" s="32" customFormat="1" ht="15.75">
      <c r="A69" s="78"/>
      <c r="B69" s="98" t="s">
        <v>49</v>
      </c>
      <c r="C69" s="98" t="s">
        <v>10</v>
      </c>
      <c r="D69" s="510">
        <v>0.602</v>
      </c>
      <c r="E69" s="510">
        <v>0.602</v>
      </c>
      <c r="F69"/>
      <c r="G69" s="20" t="s">
        <v>182</v>
      </c>
      <c r="H69" s="110" t="s">
        <v>49</v>
      </c>
      <c r="I69" s="111" t="s">
        <v>10</v>
      </c>
      <c r="J69" s="362">
        <f t="shared" si="4"/>
        <v>295</v>
      </c>
      <c r="K69" s="174"/>
      <c r="L69" s="175"/>
      <c r="M69" s="183"/>
      <c r="N69" s="184"/>
      <c r="O69" s="185"/>
      <c r="P69" s="186"/>
      <c r="Q69" s="183"/>
      <c r="R69" s="187"/>
      <c r="S69" s="223">
        <f aca="true" t="shared" si="5" ref="S69:T72">K69+M69+O69+Q69</f>
        <v>0</v>
      </c>
      <c r="T69" s="661">
        <f t="shared" si="5"/>
        <v>0</v>
      </c>
      <c r="U69" s="661" t="e">
        <f>#REF!-T69</f>
        <v>#REF!</v>
      </c>
      <c r="V69" s="20" t="s">
        <v>182</v>
      </c>
      <c r="W69" s="3" t="s">
        <v>49</v>
      </c>
      <c r="X69" s="11" t="s">
        <v>10</v>
      </c>
      <c r="Y69" s="158">
        <f>90+60</f>
        <v>150</v>
      </c>
      <c r="Z69" s="20" t="s">
        <v>182</v>
      </c>
      <c r="AA69" s="3" t="s">
        <v>49</v>
      </c>
      <c r="AB69" s="11" t="s">
        <v>10</v>
      </c>
      <c r="AC69" s="158"/>
      <c r="AD69" s="20" t="s">
        <v>182</v>
      </c>
      <c r="AE69" s="3" t="s">
        <v>49</v>
      </c>
      <c r="AF69" s="11" t="s">
        <v>10</v>
      </c>
      <c r="AG69" s="158">
        <f>30+20</f>
        <v>50</v>
      </c>
      <c r="AH69" s="20" t="s">
        <v>182</v>
      </c>
      <c r="AI69" s="3" t="s">
        <v>49</v>
      </c>
      <c r="AJ69" s="11" t="s">
        <v>10</v>
      </c>
      <c r="AK69" s="249">
        <v>60</v>
      </c>
      <c r="AL69" s="20" t="s">
        <v>182</v>
      </c>
      <c r="AM69" s="3" t="s">
        <v>49</v>
      </c>
      <c r="AN69" s="11" t="s">
        <v>10</v>
      </c>
      <c r="AO69" s="158"/>
      <c r="AP69" s="20" t="s">
        <v>182</v>
      </c>
      <c r="AQ69" s="3" t="s">
        <v>49</v>
      </c>
      <c r="AR69" s="11" t="s">
        <v>10</v>
      </c>
      <c r="AS69" s="158">
        <f>15+20</f>
        <v>35</v>
      </c>
      <c r="AT69" s="20" t="s">
        <v>182</v>
      </c>
      <c r="AU69" s="3" t="s">
        <v>49</v>
      </c>
      <c r="AV69" s="11" t="s">
        <v>10</v>
      </c>
      <c r="AW69" s="158"/>
    </row>
    <row r="70" spans="1:49" s="32" customFormat="1" ht="15.75">
      <c r="A70" s="78"/>
      <c r="B70" s="98" t="s">
        <v>38</v>
      </c>
      <c r="C70" s="98" t="s">
        <v>10</v>
      </c>
      <c r="D70" s="510">
        <v>4.79</v>
      </c>
      <c r="E70" s="510">
        <v>4.79</v>
      </c>
      <c r="F70"/>
      <c r="G70" s="20" t="s">
        <v>183</v>
      </c>
      <c r="H70" s="110" t="s">
        <v>38</v>
      </c>
      <c r="I70" s="111" t="s">
        <v>10</v>
      </c>
      <c r="J70" s="362">
        <f t="shared" si="4"/>
        <v>8</v>
      </c>
      <c r="K70" s="174"/>
      <c r="L70" s="175"/>
      <c r="M70" s="183"/>
      <c r="N70" s="184"/>
      <c r="O70" s="185"/>
      <c r="P70" s="186"/>
      <c r="Q70" s="183"/>
      <c r="R70" s="187"/>
      <c r="S70" s="223">
        <f t="shared" si="5"/>
        <v>0</v>
      </c>
      <c r="T70" s="661">
        <f t="shared" si="5"/>
        <v>0</v>
      </c>
      <c r="U70" s="661" t="e">
        <f>#REF!-T70</f>
        <v>#REF!</v>
      </c>
      <c r="V70" s="20" t="s">
        <v>183</v>
      </c>
      <c r="W70" s="3" t="s">
        <v>38</v>
      </c>
      <c r="X70" s="11" t="s">
        <v>10</v>
      </c>
      <c r="Y70" s="158"/>
      <c r="Z70" s="20" t="s">
        <v>183</v>
      </c>
      <c r="AA70" s="3" t="s">
        <v>38</v>
      </c>
      <c r="AB70" s="11" t="s">
        <v>10</v>
      </c>
      <c r="AC70" s="158"/>
      <c r="AD70" s="20" t="s">
        <v>183</v>
      </c>
      <c r="AE70" s="3" t="s">
        <v>38</v>
      </c>
      <c r="AF70" s="11" t="s">
        <v>10</v>
      </c>
      <c r="AG70" s="158">
        <v>2</v>
      </c>
      <c r="AH70" s="20" t="s">
        <v>183</v>
      </c>
      <c r="AI70" s="3" t="s">
        <v>38</v>
      </c>
      <c r="AJ70" s="11" t="s">
        <v>10</v>
      </c>
      <c r="AK70" s="158">
        <v>4</v>
      </c>
      <c r="AL70" s="20" t="s">
        <v>183</v>
      </c>
      <c r="AM70" s="3" t="s">
        <v>38</v>
      </c>
      <c r="AN70" s="11" t="s">
        <v>10</v>
      </c>
      <c r="AO70" s="158"/>
      <c r="AP70" s="20" t="s">
        <v>183</v>
      </c>
      <c r="AQ70" s="3" t="s">
        <v>38</v>
      </c>
      <c r="AR70" s="11" t="s">
        <v>10</v>
      </c>
      <c r="AS70" s="158">
        <v>2</v>
      </c>
      <c r="AT70" s="20" t="s">
        <v>183</v>
      </c>
      <c r="AU70" s="3" t="s">
        <v>38</v>
      </c>
      <c r="AV70" s="11" t="s">
        <v>10</v>
      </c>
      <c r="AW70" s="158"/>
    </row>
    <row r="71" spans="1:49" s="32" customFormat="1" ht="15.75">
      <c r="A71" s="516"/>
      <c r="B71" s="513" t="s">
        <v>45</v>
      </c>
      <c r="C71" s="513" t="s">
        <v>20</v>
      </c>
      <c r="D71" s="514">
        <v>11.092</v>
      </c>
      <c r="E71" s="514">
        <v>7.134</v>
      </c>
      <c r="F71"/>
      <c r="G71" s="20" t="s">
        <v>184</v>
      </c>
      <c r="H71" s="84" t="s">
        <v>45</v>
      </c>
      <c r="I71" s="85" t="s">
        <v>20</v>
      </c>
      <c r="J71" s="334">
        <f t="shared" si="4"/>
        <v>12</v>
      </c>
      <c r="K71" s="174"/>
      <c r="L71" s="175"/>
      <c r="M71" s="183"/>
      <c r="N71" s="184"/>
      <c r="O71" s="185"/>
      <c r="P71" s="186"/>
      <c r="Q71" s="183"/>
      <c r="R71" s="187"/>
      <c r="S71" s="223">
        <f t="shared" si="5"/>
        <v>0</v>
      </c>
      <c r="T71" s="661">
        <f t="shared" si="5"/>
        <v>0</v>
      </c>
      <c r="U71" s="661" t="e">
        <f>#REF!-T71</f>
        <v>#REF!</v>
      </c>
      <c r="V71" s="20" t="s">
        <v>184</v>
      </c>
      <c r="W71" s="3" t="s">
        <v>45</v>
      </c>
      <c r="X71" s="11" t="s">
        <v>20</v>
      </c>
      <c r="Y71" s="158"/>
      <c r="Z71" s="20" t="s">
        <v>184</v>
      </c>
      <c r="AA71" s="3" t="s">
        <v>45</v>
      </c>
      <c r="AB71" s="11" t="s">
        <v>20</v>
      </c>
      <c r="AC71" s="158"/>
      <c r="AD71" s="20" t="s">
        <v>184</v>
      </c>
      <c r="AE71" s="3" t="s">
        <v>45</v>
      </c>
      <c r="AF71" s="11" t="s">
        <v>20</v>
      </c>
      <c r="AG71" s="158"/>
      <c r="AH71" s="20" t="s">
        <v>184</v>
      </c>
      <c r="AI71" s="3" t="s">
        <v>45</v>
      </c>
      <c r="AJ71" s="11" t="s">
        <v>20</v>
      </c>
      <c r="AK71" s="158"/>
      <c r="AL71" s="20" t="s">
        <v>184</v>
      </c>
      <c r="AM71" s="3" t="s">
        <v>45</v>
      </c>
      <c r="AN71" s="11" t="s">
        <v>20</v>
      </c>
      <c r="AO71" s="158"/>
      <c r="AP71" s="20" t="s">
        <v>184</v>
      </c>
      <c r="AQ71" s="3" t="s">
        <v>45</v>
      </c>
      <c r="AR71" s="11" t="s">
        <v>20</v>
      </c>
      <c r="AS71" s="158">
        <f>4+8</f>
        <v>12</v>
      </c>
      <c r="AT71" s="20" t="s">
        <v>184</v>
      </c>
      <c r="AU71" s="3" t="s">
        <v>45</v>
      </c>
      <c r="AV71" s="11" t="s">
        <v>20</v>
      </c>
      <c r="AW71" s="158"/>
    </row>
    <row r="72" spans="1:49" s="487" customFormat="1" ht="21.75" customHeight="1">
      <c r="A72" s="423"/>
      <c r="B72" s="424" t="s">
        <v>206</v>
      </c>
      <c r="C72" s="424" t="s">
        <v>23</v>
      </c>
      <c r="D72" s="520">
        <v>1.154835</v>
      </c>
      <c r="E72" s="521">
        <v>1.154835</v>
      </c>
      <c r="G72" s="482" t="s">
        <v>158</v>
      </c>
      <c r="H72" s="426" t="s">
        <v>371</v>
      </c>
      <c r="I72" s="483" t="s">
        <v>23</v>
      </c>
      <c r="J72" s="485">
        <f t="shared" si="4"/>
        <v>190</v>
      </c>
      <c r="K72" s="490">
        <v>35</v>
      </c>
      <c r="L72" s="491" t="e">
        <f>K72/$J72*#REF!-50-18-18.4+4.7-6.7</f>
        <v>#REF!</v>
      </c>
      <c r="M72" s="492">
        <v>50</v>
      </c>
      <c r="N72" s="493" t="e">
        <f>M72/$J72*#REF!-50-80+50-34+13.9-6.3+9</f>
        <v>#REF!</v>
      </c>
      <c r="O72" s="494">
        <v>65</v>
      </c>
      <c r="P72" s="495" t="e">
        <f>O72/$J72*#REF!-50+16.6-4.3+6.2</f>
        <v>#REF!</v>
      </c>
      <c r="Q72" s="492">
        <v>45</v>
      </c>
      <c r="R72" s="496" t="e">
        <f>Q72/$J72*#REF!+50+5+75+50+18+34-12.2+6-8.6</f>
        <v>#REF!</v>
      </c>
      <c r="S72" s="497">
        <f t="shared" si="5"/>
        <v>195</v>
      </c>
      <c r="T72" s="498" t="e">
        <f t="shared" si="5"/>
        <v>#REF!</v>
      </c>
      <c r="U72" s="498" t="e">
        <f>#REF!-T72</f>
        <v>#REF!</v>
      </c>
      <c r="V72" s="482" t="s">
        <v>158</v>
      </c>
      <c r="W72" s="600" t="s">
        <v>387</v>
      </c>
      <c r="X72" s="483" t="s">
        <v>23</v>
      </c>
      <c r="Y72" s="606">
        <v>53</v>
      </c>
      <c r="Z72" s="482" t="s">
        <v>158</v>
      </c>
      <c r="AA72" s="600" t="s">
        <v>387</v>
      </c>
      <c r="AB72" s="483" t="s">
        <v>23</v>
      </c>
      <c r="AC72" s="499">
        <v>7</v>
      </c>
      <c r="AD72" s="482" t="s">
        <v>158</v>
      </c>
      <c r="AE72" s="600" t="s">
        <v>387</v>
      </c>
      <c r="AF72" s="483" t="s">
        <v>23</v>
      </c>
      <c r="AG72" s="499">
        <f>48-3</f>
        <v>45</v>
      </c>
      <c r="AH72" s="482" t="s">
        <v>158</v>
      </c>
      <c r="AI72" s="600" t="s">
        <v>387</v>
      </c>
      <c r="AJ72" s="483" t="s">
        <v>23</v>
      </c>
      <c r="AK72" s="499">
        <v>36</v>
      </c>
      <c r="AL72" s="482" t="s">
        <v>158</v>
      </c>
      <c r="AM72" s="600" t="s">
        <v>387</v>
      </c>
      <c r="AN72" s="483" t="s">
        <v>23</v>
      </c>
      <c r="AO72" s="499">
        <v>10</v>
      </c>
      <c r="AP72" s="482" t="s">
        <v>158</v>
      </c>
      <c r="AQ72" s="600" t="s">
        <v>387</v>
      </c>
      <c r="AR72" s="483" t="s">
        <v>23</v>
      </c>
      <c r="AS72" s="499">
        <v>36</v>
      </c>
      <c r="AT72" s="482" t="s">
        <v>158</v>
      </c>
      <c r="AU72" s="600" t="s">
        <v>387</v>
      </c>
      <c r="AV72" s="483" t="s">
        <v>23</v>
      </c>
      <c r="AW72" s="499">
        <v>3</v>
      </c>
    </row>
    <row r="73" spans="1:49" s="169" customFormat="1" ht="16.5" customHeight="1">
      <c r="A73" s="78"/>
      <c r="B73" s="98" t="s">
        <v>364</v>
      </c>
      <c r="C73" s="98" t="s">
        <v>212</v>
      </c>
      <c r="D73" s="510">
        <v>0.26</v>
      </c>
      <c r="E73" s="510">
        <v>0.26</v>
      </c>
      <c r="G73" s="83" t="s">
        <v>185</v>
      </c>
      <c r="H73" s="73" t="s">
        <v>364</v>
      </c>
      <c r="I73" s="11" t="s">
        <v>212</v>
      </c>
      <c r="J73" s="168">
        <f t="shared" si="4"/>
        <v>250</v>
      </c>
      <c r="K73" s="174"/>
      <c r="L73" s="175"/>
      <c r="M73" s="183"/>
      <c r="N73" s="184"/>
      <c r="O73" s="185"/>
      <c r="P73" s="186"/>
      <c r="Q73" s="183"/>
      <c r="R73" s="187"/>
      <c r="S73" s="223"/>
      <c r="T73" s="214"/>
      <c r="U73" s="214"/>
      <c r="V73" s="83" t="s">
        <v>185</v>
      </c>
      <c r="W73" s="73" t="s">
        <v>364</v>
      </c>
      <c r="X73" s="11" t="s">
        <v>212</v>
      </c>
      <c r="Y73" s="353">
        <v>100</v>
      </c>
      <c r="Z73" s="83" t="s">
        <v>185</v>
      </c>
      <c r="AA73" s="73" t="s">
        <v>364</v>
      </c>
      <c r="AB73" s="11" t="s">
        <v>212</v>
      </c>
      <c r="AC73" s="158"/>
      <c r="AD73" s="83" t="s">
        <v>185</v>
      </c>
      <c r="AE73" s="73" t="s">
        <v>364</v>
      </c>
      <c r="AF73" s="11" t="s">
        <v>212</v>
      </c>
      <c r="AG73" s="158"/>
      <c r="AH73" s="83" t="s">
        <v>185</v>
      </c>
      <c r="AI73" s="73" t="s">
        <v>364</v>
      </c>
      <c r="AJ73" s="11" t="s">
        <v>212</v>
      </c>
      <c r="AK73" s="158"/>
      <c r="AL73" s="83" t="s">
        <v>185</v>
      </c>
      <c r="AM73" s="73" t="s">
        <v>364</v>
      </c>
      <c r="AN73" s="11" t="s">
        <v>212</v>
      </c>
      <c r="AO73" s="158"/>
      <c r="AP73" s="83" t="s">
        <v>185</v>
      </c>
      <c r="AQ73" s="73" t="s">
        <v>389</v>
      </c>
      <c r="AR73" s="11" t="s">
        <v>212</v>
      </c>
      <c r="AS73" s="158">
        <v>150</v>
      </c>
      <c r="AT73" s="83" t="s">
        <v>185</v>
      </c>
      <c r="AU73" s="73" t="s">
        <v>364</v>
      </c>
      <c r="AV73" s="11" t="s">
        <v>212</v>
      </c>
      <c r="AW73" s="158"/>
    </row>
    <row r="74" spans="1:49" s="32" customFormat="1" ht="16.5" customHeight="1">
      <c r="A74" s="78"/>
      <c r="B74" s="98" t="s">
        <v>366</v>
      </c>
      <c r="C74" s="98" t="s">
        <v>367</v>
      </c>
      <c r="D74" s="510">
        <v>0.046</v>
      </c>
      <c r="E74" s="510">
        <v>0.046</v>
      </c>
      <c r="F74"/>
      <c r="G74" s="20" t="s">
        <v>186</v>
      </c>
      <c r="H74" s="335" t="s">
        <v>366</v>
      </c>
      <c r="I74" s="85" t="s">
        <v>367</v>
      </c>
      <c r="J74" s="334">
        <f t="shared" si="4"/>
        <v>170</v>
      </c>
      <c r="K74" s="174"/>
      <c r="L74" s="175"/>
      <c r="M74" s="183"/>
      <c r="N74" s="184"/>
      <c r="O74" s="185"/>
      <c r="P74" s="186"/>
      <c r="Q74" s="183"/>
      <c r="R74" s="187"/>
      <c r="S74" s="223"/>
      <c r="T74" s="661"/>
      <c r="U74" s="661"/>
      <c r="V74" s="20" t="s">
        <v>186</v>
      </c>
      <c r="W74" s="73" t="s">
        <v>366</v>
      </c>
      <c r="X74" s="11" t="s">
        <v>367</v>
      </c>
      <c r="Y74" s="158"/>
      <c r="Z74" s="20" t="s">
        <v>186</v>
      </c>
      <c r="AA74" s="73" t="s">
        <v>366</v>
      </c>
      <c r="AB74" s="11" t="s">
        <v>367</v>
      </c>
      <c r="AC74" s="158"/>
      <c r="AD74" s="20" t="s">
        <v>186</v>
      </c>
      <c r="AE74" s="73" t="s">
        <v>366</v>
      </c>
      <c r="AF74" s="11" t="s">
        <v>367</v>
      </c>
      <c r="AG74" s="158"/>
      <c r="AH74" s="20" t="s">
        <v>186</v>
      </c>
      <c r="AI74" s="73" t="s">
        <v>366</v>
      </c>
      <c r="AJ74" s="11" t="s">
        <v>367</v>
      </c>
      <c r="AK74" s="158">
        <v>70</v>
      </c>
      <c r="AL74" s="20" t="s">
        <v>186</v>
      </c>
      <c r="AM74" s="73" t="s">
        <v>366</v>
      </c>
      <c r="AN74" s="11" t="s">
        <v>367</v>
      </c>
      <c r="AO74" s="158">
        <v>70</v>
      </c>
      <c r="AP74" s="20" t="s">
        <v>186</v>
      </c>
      <c r="AQ74" s="73" t="s">
        <v>366</v>
      </c>
      <c r="AR74" s="11" t="s">
        <v>367</v>
      </c>
      <c r="AS74" s="158">
        <v>30</v>
      </c>
      <c r="AT74" s="20" t="s">
        <v>186</v>
      </c>
      <c r="AU74" s="73" t="s">
        <v>366</v>
      </c>
      <c r="AV74" s="11" t="s">
        <v>367</v>
      </c>
      <c r="AW74" s="158"/>
    </row>
    <row r="75" spans="1:49" s="32" customFormat="1" ht="16.5" customHeight="1">
      <c r="A75" s="78"/>
      <c r="B75" s="98" t="s">
        <v>368</v>
      </c>
      <c r="C75" s="98" t="s">
        <v>212</v>
      </c>
      <c r="D75" s="510">
        <v>0.164</v>
      </c>
      <c r="E75" s="510">
        <v>0.164</v>
      </c>
      <c r="F75"/>
      <c r="G75" s="20" t="s">
        <v>187</v>
      </c>
      <c r="H75" s="335" t="s">
        <v>368</v>
      </c>
      <c r="I75" s="85" t="s">
        <v>212</v>
      </c>
      <c r="J75" s="334">
        <f t="shared" si="4"/>
        <v>165</v>
      </c>
      <c r="K75" s="174"/>
      <c r="L75" s="175"/>
      <c r="M75" s="183"/>
      <c r="N75" s="184"/>
      <c r="O75" s="185"/>
      <c r="P75" s="186"/>
      <c r="Q75" s="183"/>
      <c r="R75" s="187"/>
      <c r="S75" s="223"/>
      <c r="T75" s="661"/>
      <c r="U75" s="661"/>
      <c r="V75" s="20" t="s">
        <v>187</v>
      </c>
      <c r="W75" s="3" t="s">
        <v>368</v>
      </c>
      <c r="X75" s="11" t="s">
        <v>212</v>
      </c>
      <c r="Y75" s="158"/>
      <c r="Z75" s="20" t="s">
        <v>187</v>
      </c>
      <c r="AA75" s="3" t="s">
        <v>368</v>
      </c>
      <c r="AB75" s="11" t="s">
        <v>212</v>
      </c>
      <c r="AC75" s="158">
        <v>35</v>
      </c>
      <c r="AD75" s="20" t="s">
        <v>187</v>
      </c>
      <c r="AE75" s="3" t="s">
        <v>368</v>
      </c>
      <c r="AF75" s="11" t="s">
        <v>212</v>
      </c>
      <c r="AG75" s="158"/>
      <c r="AH75" s="20" t="s">
        <v>187</v>
      </c>
      <c r="AI75" s="3" t="s">
        <v>368</v>
      </c>
      <c r="AJ75" s="11" t="s">
        <v>212</v>
      </c>
      <c r="AK75" s="158">
        <v>30</v>
      </c>
      <c r="AL75" s="20" t="s">
        <v>187</v>
      </c>
      <c r="AM75" s="3" t="s">
        <v>368</v>
      </c>
      <c r="AN75" s="11" t="s">
        <v>212</v>
      </c>
      <c r="AO75" s="158">
        <v>50</v>
      </c>
      <c r="AP75" s="20" t="s">
        <v>187</v>
      </c>
      <c r="AQ75" s="3" t="s">
        <v>368</v>
      </c>
      <c r="AR75" s="11" t="s">
        <v>212</v>
      </c>
      <c r="AS75" s="158"/>
      <c r="AT75" s="20" t="s">
        <v>187</v>
      </c>
      <c r="AU75" s="3" t="s">
        <v>368</v>
      </c>
      <c r="AV75" s="11" t="s">
        <v>212</v>
      </c>
      <c r="AW75" s="158">
        <v>50</v>
      </c>
    </row>
    <row r="76" spans="1:49" s="32" customFormat="1" ht="16.5" customHeight="1">
      <c r="A76" s="299"/>
      <c r="B76" s="341" t="s">
        <v>36</v>
      </c>
      <c r="C76" s="341" t="s">
        <v>20</v>
      </c>
      <c r="D76" s="510">
        <v>0.433</v>
      </c>
      <c r="E76" s="510">
        <v>0.433</v>
      </c>
      <c r="F76"/>
      <c r="G76" s="143" t="s">
        <v>188</v>
      </c>
      <c r="H76" s="335" t="s">
        <v>36</v>
      </c>
      <c r="I76" s="85" t="s">
        <v>20</v>
      </c>
      <c r="J76" s="334">
        <f t="shared" si="4"/>
        <v>45</v>
      </c>
      <c r="K76" s="174"/>
      <c r="L76" s="175"/>
      <c r="M76" s="183"/>
      <c r="N76" s="184"/>
      <c r="O76" s="185"/>
      <c r="P76" s="186"/>
      <c r="Q76" s="183"/>
      <c r="R76" s="187"/>
      <c r="S76" s="223"/>
      <c r="T76" s="661"/>
      <c r="U76" s="661"/>
      <c r="V76" s="143" t="s">
        <v>188</v>
      </c>
      <c r="W76" s="3" t="s">
        <v>36</v>
      </c>
      <c r="X76" s="11" t="s">
        <v>20</v>
      </c>
      <c r="Y76" s="158"/>
      <c r="Z76" s="143" t="s">
        <v>188</v>
      </c>
      <c r="AA76" s="3" t="s">
        <v>36</v>
      </c>
      <c r="AB76" s="11" t="s">
        <v>20</v>
      </c>
      <c r="AC76" s="158"/>
      <c r="AD76" s="143" t="s">
        <v>188</v>
      </c>
      <c r="AE76" s="3" t="s">
        <v>36</v>
      </c>
      <c r="AF76" s="11" t="s">
        <v>20</v>
      </c>
      <c r="AG76" s="158"/>
      <c r="AH76" s="143" t="s">
        <v>188</v>
      </c>
      <c r="AI76" s="3" t="s">
        <v>36</v>
      </c>
      <c r="AJ76" s="11" t="s">
        <v>20</v>
      </c>
      <c r="AK76" s="158"/>
      <c r="AL76" s="143" t="s">
        <v>188</v>
      </c>
      <c r="AM76" s="3" t="s">
        <v>36</v>
      </c>
      <c r="AN76" s="11" t="s">
        <v>20</v>
      </c>
      <c r="AO76" s="158">
        <v>20</v>
      </c>
      <c r="AP76" s="143" t="s">
        <v>188</v>
      </c>
      <c r="AQ76" s="3" t="s">
        <v>36</v>
      </c>
      <c r="AR76" s="11" t="s">
        <v>20</v>
      </c>
      <c r="AS76" s="158">
        <v>25</v>
      </c>
      <c r="AT76" s="143" t="s">
        <v>188</v>
      </c>
      <c r="AU76" s="3" t="s">
        <v>36</v>
      </c>
      <c r="AV76" s="11" t="s">
        <v>20</v>
      </c>
      <c r="AW76" s="158"/>
    </row>
    <row r="77" spans="1:49" s="32" customFormat="1" ht="15.75">
      <c r="A77" s="78"/>
      <c r="B77" s="98" t="s">
        <v>351</v>
      </c>
      <c r="C77" s="98" t="s">
        <v>10</v>
      </c>
      <c r="D77" s="510">
        <v>0.738</v>
      </c>
      <c r="E77" s="510">
        <v>0.738</v>
      </c>
      <c r="F77"/>
      <c r="G77" s="143" t="s">
        <v>189</v>
      </c>
      <c r="H77" s="84" t="s">
        <v>351</v>
      </c>
      <c r="I77" s="85" t="s">
        <v>10</v>
      </c>
      <c r="J77" s="334">
        <f t="shared" si="4"/>
        <v>38</v>
      </c>
      <c r="K77" s="174"/>
      <c r="L77" s="175"/>
      <c r="M77" s="183"/>
      <c r="N77" s="184"/>
      <c r="O77" s="185"/>
      <c r="P77" s="186"/>
      <c r="Q77" s="183"/>
      <c r="R77" s="187"/>
      <c r="S77" s="223"/>
      <c r="T77" s="661"/>
      <c r="U77" s="661"/>
      <c r="V77" s="143" t="s">
        <v>189</v>
      </c>
      <c r="W77" s="3" t="s">
        <v>351</v>
      </c>
      <c r="X77" s="11" t="s">
        <v>10</v>
      </c>
      <c r="Y77" s="158"/>
      <c r="Z77" s="143" t="s">
        <v>189</v>
      </c>
      <c r="AA77" s="3" t="s">
        <v>351</v>
      </c>
      <c r="AB77" s="11" t="s">
        <v>10</v>
      </c>
      <c r="AC77" s="158">
        <v>7</v>
      </c>
      <c r="AD77" s="143" t="s">
        <v>189</v>
      </c>
      <c r="AE77" s="3" t="s">
        <v>351</v>
      </c>
      <c r="AF77" s="11" t="s">
        <v>10</v>
      </c>
      <c r="AG77" s="158"/>
      <c r="AH77" s="143" t="s">
        <v>189</v>
      </c>
      <c r="AI77" s="3" t="s">
        <v>351</v>
      </c>
      <c r="AJ77" s="11" t="s">
        <v>10</v>
      </c>
      <c r="AK77" s="158">
        <v>11</v>
      </c>
      <c r="AL77" s="143" t="s">
        <v>189</v>
      </c>
      <c r="AM77" s="3" t="s">
        <v>351</v>
      </c>
      <c r="AN77" s="11" t="s">
        <v>10</v>
      </c>
      <c r="AO77" s="158">
        <v>10</v>
      </c>
      <c r="AP77" s="143" t="s">
        <v>189</v>
      </c>
      <c r="AQ77" s="3" t="s">
        <v>351</v>
      </c>
      <c r="AR77" s="11" t="s">
        <v>10</v>
      </c>
      <c r="AS77" s="158">
        <v>7</v>
      </c>
      <c r="AT77" s="143" t="s">
        <v>189</v>
      </c>
      <c r="AU77" s="3" t="s">
        <v>351</v>
      </c>
      <c r="AV77" s="11" t="s">
        <v>10</v>
      </c>
      <c r="AW77" s="158">
        <v>3</v>
      </c>
    </row>
    <row r="78" spans="1:49" s="32" customFormat="1" ht="15.75">
      <c r="A78" s="78"/>
      <c r="B78" s="98" t="s">
        <v>369</v>
      </c>
      <c r="C78" s="98" t="s">
        <v>10</v>
      </c>
      <c r="D78" s="510">
        <v>0.038</v>
      </c>
      <c r="E78" s="510">
        <v>0.038</v>
      </c>
      <c r="F78"/>
      <c r="G78" s="143" t="s">
        <v>190</v>
      </c>
      <c r="H78" s="84" t="s">
        <v>369</v>
      </c>
      <c r="I78" s="85" t="s">
        <v>10</v>
      </c>
      <c r="J78" s="334">
        <f t="shared" si="4"/>
        <v>10</v>
      </c>
      <c r="K78" s="174"/>
      <c r="L78" s="175"/>
      <c r="M78" s="183"/>
      <c r="N78" s="184"/>
      <c r="O78" s="185"/>
      <c r="P78" s="186"/>
      <c r="Q78" s="183"/>
      <c r="R78" s="187"/>
      <c r="S78" s="223"/>
      <c r="T78" s="661"/>
      <c r="U78" s="661"/>
      <c r="V78" s="143" t="s">
        <v>190</v>
      </c>
      <c r="W78" s="3" t="s">
        <v>369</v>
      </c>
      <c r="X78" s="11" t="s">
        <v>10</v>
      </c>
      <c r="Y78" s="158"/>
      <c r="Z78" s="143" t="s">
        <v>190</v>
      </c>
      <c r="AA78" s="3" t="s">
        <v>369</v>
      </c>
      <c r="AB78" s="11" t="s">
        <v>10</v>
      </c>
      <c r="AC78" s="158"/>
      <c r="AD78" s="143" t="s">
        <v>190</v>
      </c>
      <c r="AE78" s="3" t="s">
        <v>369</v>
      </c>
      <c r="AF78" s="11" t="s">
        <v>10</v>
      </c>
      <c r="AG78" s="158"/>
      <c r="AH78" s="143" t="s">
        <v>190</v>
      </c>
      <c r="AI78" s="3" t="s">
        <v>369</v>
      </c>
      <c r="AJ78" s="11" t="s">
        <v>10</v>
      </c>
      <c r="AK78" s="158">
        <v>10</v>
      </c>
      <c r="AL78" s="143" t="s">
        <v>190</v>
      </c>
      <c r="AM78" s="3" t="s">
        <v>369</v>
      </c>
      <c r="AN78" s="11" t="s">
        <v>10</v>
      </c>
      <c r="AO78" s="158"/>
      <c r="AP78" s="143" t="s">
        <v>190</v>
      </c>
      <c r="AQ78" s="3" t="s">
        <v>369</v>
      </c>
      <c r="AR78" s="11" t="s">
        <v>10</v>
      </c>
      <c r="AS78" s="158"/>
      <c r="AT78" s="143" t="s">
        <v>190</v>
      </c>
      <c r="AU78" s="3" t="s">
        <v>369</v>
      </c>
      <c r="AV78" s="11" t="s">
        <v>10</v>
      </c>
      <c r="AW78" s="158"/>
    </row>
    <row r="79" spans="1:49" s="32" customFormat="1" ht="15.75">
      <c r="A79" s="78"/>
      <c r="B79" s="98" t="s">
        <v>344</v>
      </c>
      <c r="C79" s="98" t="s">
        <v>10</v>
      </c>
      <c r="D79" s="510">
        <v>0.484</v>
      </c>
      <c r="E79" s="510">
        <v>0.484</v>
      </c>
      <c r="F79"/>
      <c r="G79" s="143" t="s">
        <v>191</v>
      </c>
      <c r="H79" s="84" t="s">
        <v>344</v>
      </c>
      <c r="I79" s="85" t="s">
        <v>10</v>
      </c>
      <c r="J79" s="334">
        <f t="shared" si="4"/>
        <v>33</v>
      </c>
      <c r="K79" s="174"/>
      <c r="L79" s="175"/>
      <c r="M79" s="183"/>
      <c r="N79" s="184"/>
      <c r="O79" s="185"/>
      <c r="P79" s="186"/>
      <c r="Q79" s="183"/>
      <c r="R79" s="187"/>
      <c r="S79" s="223"/>
      <c r="T79" s="661"/>
      <c r="U79" s="661"/>
      <c r="V79" s="143" t="s">
        <v>191</v>
      </c>
      <c r="W79" s="3" t="s">
        <v>344</v>
      </c>
      <c r="X79" s="11" t="s">
        <v>10</v>
      </c>
      <c r="Y79" s="158"/>
      <c r="Z79" s="143" t="s">
        <v>191</v>
      </c>
      <c r="AA79" s="3" t="s">
        <v>344</v>
      </c>
      <c r="AB79" s="11" t="s">
        <v>10</v>
      </c>
      <c r="AC79" s="158">
        <v>7</v>
      </c>
      <c r="AD79" s="143" t="s">
        <v>191</v>
      </c>
      <c r="AE79" s="3" t="s">
        <v>344</v>
      </c>
      <c r="AF79" s="11" t="s">
        <v>10</v>
      </c>
      <c r="AG79" s="158"/>
      <c r="AH79" s="143" t="s">
        <v>191</v>
      </c>
      <c r="AI79" s="3" t="s">
        <v>344</v>
      </c>
      <c r="AJ79" s="11" t="s">
        <v>10</v>
      </c>
      <c r="AK79" s="158">
        <v>5</v>
      </c>
      <c r="AL79" s="143" t="s">
        <v>191</v>
      </c>
      <c r="AM79" s="3" t="s">
        <v>344</v>
      </c>
      <c r="AN79" s="11" t="s">
        <v>10</v>
      </c>
      <c r="AO79" s="158"/>
      <c r="AP79" s="143" t="s">
        <v>191</v>
      </c>
      <c r="AQ79" s="3" t="s">
        <v>344</v>
      </c>
      <c r="AR79" s="11" t="s">
        <v>10</v>
      </c>
      <c r="AS79" s="158">
        <v>9</v>
      </c>
      <c r="AT79" s="143" t="s">
        <v>191</v>
      </c>
      <c r="AU79" s="3" t="s">
        <v>344</v>
      </c>
      <c r="AV79" s="11" t="s">
        <v>10</v>
      </c>
      <c r="AW79" s="158">
        <v>12</v>
      </c>
    </row>
    <row r="80" spans="1:49" s="32" customFormat="1" ht="15.75">
      <c r="A80" s="78"/>
      <c r="B80" s="84" t="s">
        <v>48</v>
      </c>
      <c r="C80" s="98" t="s">
        <v>10</v>
      </c>
      <c r="D80" s="510">
        <v>3.152</v>
      </c>
      <c r="E80" s="510">
        <v>3.152</v>
      </c>
      <c r="F80"/>
      <c r="G80" s="143" t="s">
        <v>192</v>
      </c>
      <c r="H80" s="84" t="s">
        <v>48</v>
      </c>
      <c r="I80" s="85" t="s">
        <v>20</v>
      </c>
      <c r="J80" s="334">
        <f t="shared" si="4"/>
        <v>45</v>
      </c>
      <c r="K80" s="174"/>
      <c r="L80" s="175"/>
      <c r="M80" s="183"/>
      <c r="N80" s="184"/>
      <c r="O80" s="185"/>
      <c r="P80" s="186"/>
      <c r="Q80" s="183"/>
      <c r="R80" s="187"/>
      <c r="S80" s="223"/>
      <c r="T80" s="661"/>
      <c r="U80" s="661"/>
      <c r="V80" s="143" t="s">
        <v>192</v>
      </c>
      <c r="W80" s="3" t="s">
        <v>48</v>
      </c>
      <c r="X80" s="11" t="s">
        <v>20</v>
      </c>
      <c r="Y80" s="158">
        <f>32*0</f>
        <v>0</v>
      </c>
      <c r="Z80" s="143" t="s">
        <v>192</v>
      </c>
      <c r="AA80" s="3" t="s">
        <v>48</v>
      </c>
      <c r="AB80" s="11" t="s">
        <v>20</v>
      </c>
      <c r="AC80" s="158">
        <v>7</v>
      </c>
      <c r="AD80" s="143" t="s">
        <v>192</v>
      </c>
      <c r="AE80" s="3" t="s">
        <v>48</v>
      </c>
      <c r="AF80" s="11" t="s">
        <v>20</v>
      </c>
      <c r="AG80" s="158">
        <v>7</v>
      </c>
      <c r="AH80" s="143" t="s">
        <v>192</v>
      </c>
      <c r="AI80" s="3" t="s">
        <v>48</v>
      </c>
      <c r="AJ80" s="11" t="s">
        <v>20</v>
      </c>
      <c r="AK80" s="158">
        <v>4</v>
      </c>
      <c r="AL80" s="143" t="s">
        <v>192</v>
      </c>
      <c r="AM80" s="3" t="s">
        <v>48</v>
      </c>
      <c r="AN80" s="11" t="s">
        <v>20</v>
      </c>
      <c r="AO80" s="158">
        <v>23</v>
      </c>
      <c r="AP80" s="143" t="s">
        <v>192</v>
      </c>
      <c r="AQ80" s="3" t="s">
        <v>48</v>
      </c>
      <c r="AR80" s="11" t="s">
        <v>20</v>
      </c>
      <c r="AS80" s="158">
        <v>4</v>
      </c>
      <c r="AT80" s="143" t="s">
        <v>192</v>
      </c>
      <c r="AU80" s="3" t="s">
        <v>48</v>
      </c>
      <c r="AV80" s="11" t="s">
        <v>20</v>
      </c>
      <c r="AW80" s="158"/>
    </row>
    <row r="81" spans="1:49" s="32" customFormat="1" ht="15.75">
      <c r="A81" s="78"/>
      <c r="B81" s="84" t="s">
        <v>49</v>
      </c>
      <c r="C81" s="98" t="s">
        <v>10</v>
      </c>
      <c r="D81" s="510">
        <v>0.602</v>
      </c>
      <c r="E81" s="510">
        <v>0.602</v>
      </c>
      <c r="F81"/>
      <c r="G81" s="20" t="s">
        <v>193</v>
      </c>
      <c r="H81" s="84" t="s">
        <v>49</v>
      </c>
      <c r="I81" s="85" t="s">
        <v>10</v>
      </c>
      <c r="J81" s="334">
        <f t="shared" si="4"/>
        <v>36</v>
      </c>
      <c r="K81" s="174">
        <v>95</v>
      </c>
      <c r="L81" s="175" t="e">
        <f>K81/$J81*#REF!</f>
        <v>#REF!</v>
      </c>
      <c r="M81" s="183"/>
      <c r="N81" s="184"/>
      <c r="O81" s="185"/>
      <c r="P81" s="186"/>
      <c r="Q81" s="183">
        <v>94</v>
      </c>
      <c r="R81" s="187" t="e">
        <f>Q81/$J81*#REF!</f>
        <v>#REF!</v>
      </c>
      <c r="S81" s="223">
        <f>K81+M81+O81+Q81</f>
        <v>189</v>
      </c>
      <c r="T81" s="661" t="e">
        <f>L81+N81+P81+R81</f>
        <v>#REF!</v>
      </c>
      <c r="U81" s="661" t="e">
        <f>#REF!-T81</f>
        <v>#REF!</v>
      </c>
      <c r="V81" s="20" t="s">
        <v>193</v>
      </c>
      <c r="W81" s="3" t="s">
        <v>49</v>
      </c>
      <c r="X81" s="11" t="s">
        <v>10</v>
      </c>
      <c r="Y81" s="158"/>
      <c r="Z81" s="20" t="s">
        <v>193</v>
      </c>
      <c r="AA81" s="3" t="s">
        <v>49</v>
      </c>
      <c r="AB81" s="11" t="s">
        <v>10</v>
      </c>
      <c r="AC81" s="158"/>
      <c r="AD81" s="20" t="s">
        <v>193</v>
      </c>
      <c r="AE81" s="3" t="s">
        <v>49</v>
      </c>
      <c r="AF81" s="11" t="s">
        <v>10</v>
      </c>
      <c r="AG81" s="158"/>
      <c r="AH81" s="20" t="s">
        <v>193</v>
      </c>
      <c r="AI81" s="3" t="s">
        <v>49</v>
      </c>
      <c r="AJ81" s="11" t="s">
        <v>10</v>
      </c>
      <c r="AK81" s="158"/>
      <c r="AL81" s="20" t="s">
        <v>193</v>
      </c>
      <c r="AM81" s="3" t="s">
        <v>49</v>
      </c>
      <c r="AN81" s="11" t="s">
        <v>10</v>
      </c>
      <c r="AO81" s="158">
        <v>36</v>
      </c>
      <c r="AP81" s="20" t="s">
        <v>193</v>
      </c>
      <c r="AQ81" s="3" t="s">
        <v>49</v>
      </c>
      <c r="AR81" s="11" t="s">
        <v>10</v>
      </c>
      <c r="AS81" s="158"/>
      <c r="AT81" s="20" t="s">
        <v>193</v>
      </c>
      <c r="AU81" s="3" t="s">
        <v>49</v>
      </c>
      <c r="AV81" s="11" t="s">
        <v>10</v>
      </c>
      <c r="AW81" s="158"/>
    </row>
    <row r="82" spans="1:49" s="627" customFormat="1" ht="18.75">
      <c r="A82" s="623"/>
      <c r="B82" s="624" t="s">
        <v>370</v>
      </c>
      <c r="C82" s="625"/>
      <c r="D82" s="626"/>
      <c r="E82" s="626"/>
      <c r="G82" s="594" t="s">
        <v>159</v>
      </c>
      <c r="H82" s="599" t="s">
        <v>370</v>
      </c>
      <c r="I82" s="601"/>
      <c r="J82" s="602"/>
      <c r="K82" s="628"/>
      <c r="L82" s="629"/>
      <c r="M82" s="630"/>
      <c r="N82" s="631"/>
      <c r="O82" s="632"/>
      <c r="P82" s="633"/>
      <c r="Q82" s="630"/>
      <c r="R82" s="634"/>
      <c r="S82" s="635"/>
      <c r="T82" s="636"/>
      <c r="U82" s="636"/>
      <c r="V82" s="594" t="s">
        <v>159</v>
      </c>
      <c r="W82" s="599" t="s">
        <v>370</v>
      </c>
      <c r="X82" s="601"/>
      <c r="Y82" s="602"/>
      <c r="Z82" s="594" t="s">
        <v>159</v>
      </c>
      <c r="AA82" s="599" t="s">
        <v>370</v>
      </c>
      <c r="AB82" s="601"/>
      <c r="AC82" s="602"/>
      <c r="AD82" s="594" t="s">
        <v>159</v>
      </c>
      <c r="AE82" s="599" t="s">
        <v>370</v>
      </c>
      <c r="AF82" s="601"/>
      <c r="AG82" s="602"/>
      <c r="AH82" s="594" t="s">
        <v>159</v>
      </c>
      <c r="AI82" s="599" t="s">
        <v>370</v>
      </c>
      <c r="AJ82" s="601"/>
      <c r="AK82" s="602"/>
      <c r="AL82" s="594" t="s">
        <v>159</v>
      </c>
      <c r="AM82" s="599" t="s">
        <v>370</v>
      </c>
      <c r="AN82" s="601"/>
      <c r="AO82" s="602"/>
      <c r="AP82" s="594" t="s">
        <v>159</v>
      </c>
      <c r="AQ82" s="599" t="s">
        <v>370</v>
      </c>
      <c r="AR82" s="601"/>
      <c r="AS82" s="602"/>
      <c r="AT82" s="594" t="s">
        <v>159</v>
      </c>
      <c r="AU82" s="599" t="s">
        <v>370</v>
      </c>
      <c r="AV82" s="601"/>
      <c r="AW82" s="602"/>
    </row>
    <row r="83" spans="1:49" s="169" customFormat="1" ht="15.75" hidden="1">
      <c r="A83" s="78"/>
      <c r="B83" s="338" t="s">
        <v>380</v>
      </c>
      <c r="C83" s="98" t="s">
        <v>10</v>
      </c>
      <c r="D83" s="510">
        <v>1.395</v>
      </c>
      <c r="E83" s="510">
        <v>1.395</v>
      </c>
      <c r="G83" s="20" t="s">
        <v>395</v>
      </c>
      <c r="H83" s="3" t="s">
        <v>69</v>
      </c>
      <c r="I83" s="11" t="s">
        <v>10</v>
      </c>
      <c r="J83" s="168">
        <f>Y83+AC83+AG83+AK83+AO83+AS83+AW83</f>
        <v>0</v>
      </c>
      <c r="K83" s="174"/>
      <c r="L83" s="175"/>
      <c r="M83" s="183"/>
      <c r="N83" s="184"/>
      <c r="O83" s="174"/>
      <c r="P83" s="175"/>
      <c r="Q83" s="183"/>
      <c r="R83" s="187"/>
      <c r="S83" s="223">
        <f>K83+M83+O83+Q83</f>
        <v>0</v>
      </c>
      <c r="T83" s="214">
        <f>L83+N83+P83+R83</f>
        <v>0</v>
      </c>
      <c r="U83" s="214" t="e">
        <f>#REF!-T83</f>
        <v>#REF!</v>
      </c>
      <c r="V83" s="20" t="s">
        <v>395</v>
      </c>
      <c r="W83" s="3" t="s">
        <v>69</v>
      </c>
      <c r="X83" s="11" t="s">
        <v>10</v>
      </c>
      <c r="Y83" s="158"/>
      <c r="Z83" s="20" t="s">
        <v>395</v>
      </c>
      <c r="AA83" s="3" t="s">
        <v>69</v>
      </c>
      <c r="AB83" s="11" t="s">
        <v>10</v>
      </c>
      <c r="AC83" s="158"/>
      <c r="AD83" s="20" t="s">
        <v>395</v>
      </c>
      <c r="AE83" s="3" t="s">
        <v>69</v>
      </c>
      <c r="AF83" s="11" t="s">
        <v>10</v>
      </c>
      <c r="AG83" s="158"/>
      <c r="AH83" s="20" t="s">
        <v>395</v>
      </c>
      <c r="AI83" s="3" t="s">
        <v>69</v>
      </c>
      <c r="AJ83" s="11" t="s">
        <v>10</v>
      </c>
      <c r="AK83" s="158"/>
      <c r="AL83" s="20" t="s">
        <v>395</v>
      </c>
      <c r="AM83" s="3" t="s">
        <v>69</v>
      </c>
      <c r="AN83" s="11" t="s">
        <v>10</v>
      </c>
      <c r="AO83" s="158"/>
      <c r="AP83" s="20" t="s">
        <v>395</v>
      </c>
      <c r="AQ83" s="3" t="s">
        <v>69</v>
      </c>
      <c r="AR83" s="11" t="s">
        <v>10</v>
      </c>
      <c r="AS83" s="158"/>
      <c r="AT83" s="20" t="s">
        <v>395</v>
      </c>
      <c r="AU83" s="3" t="s">
        <v>69</v>
      </c>
      <c r="AV83" s="11" t="s">
        <v>10</v>
      </c>
      <c r="AW83" s="158"/>
    </row>
    <row r="84" spans="1:49" s="32" customFormat="1" ht="15.75" hidden="1">
      <c r="A84" s="78"/>
      <c r="B84" s="84" t="s">
        <v>378</v>
      </c>
      <c r="C84" s="98" t="s">
        <v>10</v>
      </c>
      <c r="D84" s="510">
        <v>1.287</v>
      </c>
      <c r="E84" s="510">
        <v>1.287</v>
      </c>
      <c r="F84"/>
      <c r="G84" s="20" t="s">
        <v>396</v>
      </c>
      <c r="H84" s="84" t="s">
        <v>343</v>
      </c>
      <c r="I84" s="85" t="s">
        <v>10</v>
      </c>
      <c r="J84" s="334">
        <f>Y84+AC84+AG84+AK84+AO84+AS84+AW84</f>
        <v>0</v>
      </c>
      <c r="K84" s="174"/>
      <c r="L84" s="175"/>
      <c r="M84" s="183"/>
      <c r="N84" s="184"/>
      <c r="O84" s="185"/>
      <c r="P84" s="186"/>
      <c r="Q84" s="183"/>
      <c r="R84" s="187"/>
      <c r="S84" s="223"/>
      <c r="T84" s="661"/>
      <c r="U84" s="661"/>
      <c r="V84" s="20" t="s">
        <v>396</v>
      </c>
      <c r="W84" s="3" t="s">
        <v>343</v>
      </c>
      <c r="X84" s="11" t="s">
        <v>10</v>
      </c>
      <c r="Y84" s="158"/>
      <c r="Z84" s="20" t="s">
        <v>396</v>
      </c>
      <c r="AA84" s="3" t="s">
        <v>343</v>
      </c>
      <c r="AB84" s="11" t="s">
        <v>10</v>
      </c>
      <c r="AC84" s="158"/>
      <c r="AD84" s="20" t="s">
        <v>396</v>
      </c>
      <c r="AE84" s="3" t="s">
        <v>343</v>
      </c>
      <c r="AF84" s="11" t="s">
        <v>10</v>
      </c>
      <c r="AG84" s="158"/>
      <c r="AH84" s="20" t="s">
        <v>396</v>
      </c>
      <c r="AI84" s="3" t="s">
        <v>343</v>
      </c>
      <c r="AJ84" s="11" t="s">
        <v>10</v>
      </c>
      <c r="AK84" s="158"/>
      <c r="AL84" s="20" t="s">
        <v>396</v>
      </c>
      <c r="AM84" s="3" t="s">
        <v>343</v>
      </c>
      <c r="AN84" s="11" t="s">
        <v>10</v>
      </c>
      <c r="AO84" s="158"/>
      <c r="AP84" s="20" t="s">
        <v>396</v>
      </c>
      <c r="AQ84" s="3" t="s">
        <v>343</v>
      </c>
      <c r="AR84" s="11" t="s">
        <v>10</v>
      </c>
      <c r="AS84" s="158"/>
      <c r="AT84" s="20" t="s">
        <v>396</v>
      </c>
      <c r="AU84" s="3" t="s">
        <v>343</v>
      </c>
      <c r="AV84" s="11" t="s">
        <v>10</v>
      </c>
      <c r="AW84" s="158"/>
    </row>
    <row r="85" spans="1:49" s="32" customFormat="1" ht="15.75" hidden="1">
      <c r="A85" s="78"/>
      <c r="B85" s="113" t="s">
        <v>214</v>
      </c>
      <c r="C85" s="113" t="s">
        <v>23</v>
      </c>
      <c r="D85" s="510">
        <v>3.425</v>
      </c>
      <c r="E85" s="510">
        <v>5.492</v>
      </c>
      <c r="F85"/>
      <c r="G85" s="20" t="s">
        <v>397</v>
      </c>
      <c r="H85" s="84" t="s">
        <v>214</v>
      </c>
      <c r="I85" s="85" t="s">
        <v>23</v>
      </c>
      <c r="J85" s="334">
        <f>Y85+AC85+AG85+AK85+AO85+AS85+AW85</f>
        <v>0</v>
      </c>
      <c r="K85" s="174"/>
      <c r="L85" s="175"/>
      <c r="M85" s="183"/>
      <c r="N85" s="184"/>
      <c r="O85" s="185"/>
      <c r="P85" s="186"/>
      <c r="Q85" s="183"/>
      <c r="R85" s="187"/>
      <c r="S85" s="223">
        <f>K85+M85+O85+Q85</f>
        <v>0</v>
      </c>
      <c r="T85" s="661">
        <f>L85+N85+P85+R85</f>
        <v>0</v>
      </c>
      <c r="U85" s="661" t="e">
        <f>#REF!-T85</f>
        <v>#REF!</v>
      </c>
      <c r="V85" s="20" t="s">
        <v>397</v>
      </c>
      <c r="W85" s="3" t="s">
        <v>245</v>
      </c>
      <c r="X85" s="11" t="s">
        <v>23</v>
      </c>
      <c r="Y85" s="158"/>
      <c r="Z85" s="20" t="s">
        <v>397</v>
      </c>
      <c r="AA85" s="3" t="s">
        <v>246</v>
      </c>
      <c r="AB85" s="11" t="s">
        <v>23</v>
      </c>
      <c r="AC85" s="158"/>
      <c r="AD85" s="20" t="s">
        <v>397</v>
      </c>
      <c r="AE85" s="3" t="s">
        <v>247</v>
      </c>
      <c r="AF85" s="11" t="s">
        <v>23</v>
      </c>
      <c r="AG85" s="158"/>
      <c r="AH85" s="20" t="s">
        <v>397</v>
      </c>
      <c r="AI85" s="3" t="s">
        <v>248</v>
      </c>
      <c r="AJ85" s="11" t="s">
        <v>23</v>
      </c>
      <c r="AK85" s="158"/>
      <c r="AL85" s="20" t="s">
        <v>397</v>
      </c>
      <c r="AM85" s="3" t="s">
        <v>241</v>
      </c>
      <c r="AN85" s="11" t="s">
        <v>23</v>
      </c>
      <c r="AO85" s="158"/>
      <c r="AP85" s="20" t="s">
        <v>397</v>
      </c>
      <c r="AQ85" s="3" t="s">
        <v>241</v>
      </c>
      <c r="AR85" s="11" t="s">
        <v>23</v>
      </c>
      <c r="AS85" s="158"/>
      <c r="AT85" s="20" t="s">
        <v>397</v>
      </c>
      <c r="AU85" s="3" t="s">
        <v>214</v>
      </c>
      <c r="AV85" s="11" t="s">
        <v>23</v>
      </c>
      <c r="AW85" s="158"/>
    </row>
    <row r="86" spans="1:49" s="32" customFormat="1" ht="15.75">
      <c r="A86" s="78"/>
      <c r="B86" s="98" t="s">
        <v>352</v>
      </c>
      <c r="C86" s="98" t="s">
        <v>20</v>
      </c>
      <c r="D86" s="510">
        <v>3.152</v>
      </c>
      <c r="E86" s="510">
        <v>3.152</v>
      </c>
      <c r="F86"/>
      <c r="G86" s="20" t="s">
        <v>398</v>
      </c>
      <c r="H86" s="84" t="s">
        <v>355</v>
      </c>
      <c r="I86" s="85" t="s">
        <v>20</v>
      </c>
      <c r="J86" s="334">
        <f>Y86+AC86+AG86+AK86+AO86+AS86+AW86</f>
        <v>24</v>
      </c>
      <c r="K86" s="174"/>
      <c r="L86" s="175"/>
      <c r="M86" s="183"/>
      <c r="N86" s="184"/>
      <c r="O86" s="185"/>
      <c r="P86" s="186"/>
      <c r="Q86" s="183"/>
      <c r="R86" s="187"/>
      <c r="S86" s="223"/>
      <c r="T86" s="661"/>
      <c r="U86" s="661"/>
      <c r="V86" s="20" t="s">
        <v>398</v>
      </c>
      <c r="W86" s="3" t="s">
        <v>355</v>
      </c>
      <c r="X86" s="11" t="s">
        <v>20</v>
      </c>
      <c r="Y86" s="158"/>
      <c r="Z86" s="20" t="s">
        <v>398</v>
      </c>
      <c r="AA86" s="3" t="s">
        <v>355</v>
      </c>
      <c r="AB86" s="11" t="s">
        <v>20</v>
      </c>
      <c r="AC86" s="158">
        <v>3</v>
      </c>
      <c r="AD86" s="20" t="s">
        <v>398</v>
      </c>
      <c r="AE86" s="3" t="s">
        <v>355</v>
      </c>
      <c r="AF86" s="11" t="s">
        <v>20</v>
      </c>
      <c r="AG86" s="158">
        <v>10</v>
      </c>
      <c r="AH86" s="20" t="s">
        <v>398</v>
      </c>
      <c r="AI86" s="3" t="s">
        <v>355</v>
      </c>
      <c r="AJ86" s="11" t="s">
        <v>20</v>
      </c>
      <c r="AK86" s="158">
        <f>10-6</f>
        <v>4</v>
      </c>
      <c r="AL86" s="20" t="s">
        <v>398</v>
      </c>
      <c r="AM86" s="3" t="s">
        <v>355</v>
      </c>
      <c r="AN86" s="11" t="s">
        <v>20</v>
      </c>
      <c r="AO86" s="158">
        <f>10-7</f>
        <v>3</v>
      </c>
      <c r="AP86" s="20" t="s">
        <v>398</v>
      </c>
      <c r="AQ86" s="3" t="s">
        <v>355</v>
      </c>
      <c r="AR86" s="11" t="s">
        <v>20</v>
      </c>
      <c r="AS86" s="158">
        <v>4</v>
      </c>
      <c r="AT86" s="20" t="s">
        <v>398</v>
      </c>
      <c r="AU86" s="3" t="s">
        <v>355</v>
      </c>
      <c r="AV86" s="11" t="s">
        <v>20</v>
      </c>
      <c r="AW86" s="158"/>
    </row>
    <row r="87" spans="1:49" s="32" customFormat="1" ht="15.75">
      <c r="A87" s="78"/>
      <c r="B87" s="98"/>
      <c r="C87" s="98"/>
      <c r="D87" s="99">
        <v>0</v>
      </c>
      <c r="E87" s="99">
        <v>0</v>
      </c>
      <c r="F87"/>
      <c r="G87" s="39"/>
      <c r="H87" s="103" t="s">
        <v>216</v>
      </c>
      <c r="I87" s="104"/>
      <c r="J87" s="104"/>
      <c r="K87" s="70"/>
      <c r="L87" s="49" t="e">
        <f>SUM(L65:L86)</f>
        <v>#REF!</v>
      </c>
      <c r="M87" s="72"/>
      <c r="N87" s="49" t="e">
        <f>SUM(N65:N86)</f>
        <v>#REF!</v>
      </c>
      <c r="O87" s="70"/>
      <c r="P87" s="49" t="e">
        <f>SUM(P65:P86)</f>
        <v>#REF!</v>
      </c>
      <c r="Q87" s="72"/>
      <c r="R87" s="49" t="e">
        <f>SUM(R65:R86)</f>
        <v>#REF!</v>
      </c>
      <c r="S87" s="217"/>
      <c r="T87" s="660"/>
      <c r="U87" s="161" t="e">
        <f>U65+U72+#REF!+#REF!+#REF!</f>
        <v>#REF!</v>
      </c>
      <c r="V87" s="39"/>
      <c r="W87" s="41" t="s">
        <v>216</v>
      </c>
      <c r="X87" s="43"/>
      <c r="Y87" s="160"/>
      <c r="Z87" s="39"/>
      <c r="AA87" s="41" t="s">
        <v>216</v>
      </c>
      <c r="AB87" s="43"/>
      <c r="AC87" s="160"/>
      <c r="AD87" s="39"/>
      <c r="AE87" s="41" t="s">
        <v>216</v>
      </c>
      <c r="AF87" s="43"/>
      <c r="AG87" s="160"/>
      <c r="AH87" s="39"/>
      <c r="AI87" s="41" t="s">
        <v>216</v>
      </c>
      <c r="AJ87" s="43"/>
      <c r="AK87" s="160"/>
      <c r="AL87" s="39"/>
      <c r="AM87" s="41" t="s">
        <v>216</v>
      </c>
      <c r="AN87" s="43"/>
      <c r="AO87" s="160"/>
      <c r="AP87" s="39"/>
      <c r="AQ87" s="41" t="s">
        <v>216</v>
      </c>
      <c r="AR87" s="43"/>
      <c r="AS87" s="160"/>
      <c r="AT87" s="39"/>
      <c r="AU87" s="41" t="s">
        <v>216</v>
      </c>
      <c r="AV87" s="43"/>
      <c r="AW87" s="160"/>
    </row>
    <row r="88" spans="1:49" s="401" customFormat="1" ht="18.75">
      <c r="A88" s="404"/>
      <c r="B88" s="395"/>
      <c r="C88" s="395"/>
      <c r="D88" s="396">
        <v>0</v>
      </c>
      <c r="E88" s="396">
        <v>0</v>
      </c>
      <c r="G88" s="397" t="s">
        <v>160</v>
      </c>
      <c r="H88" s="372" t="s">
        <v>375</v>
      </c>
      <c r="I88" s="398"/>
      <c r="J88" s="228"/>
      <c r="K88" s="408"/>
      <c r="L88" s="409"/>
      <c r="M88" s="410"/>
      <c r="N88" s="411"/>
      <c r="O88" s="412"/>
      <c r="P88" s="413"/>
      <c r="Q88" s="410"/>
      <c r="R88" s="414"/>
      <c r="S88" s="435"/>
      <c r="T88" s="436"/>
      <c r="U88" s="436"/>
      <c r="V88" s="397" t="s">
        <v>160</v>
      </c>
      <c r="W88" s="372" t="s">
        <v>375</v>
      </c>
      <c r="X88" s="398"/>
      <c r="Y88" s="402"/>
      <c r="Z88" s="397" t="s">
        <v>160</v>
      </c>
      <c r="AA88" s="372" t="s">
        <v>375</v>
      </c>
      <c r="AB88" s="398"/>
      <c r="AC88" s="402"/>
      <c r="AD88" s="397" t="s">
        <v>160</v>
      </c>
      <c r="AE88" s="372" t="s">
        <v>375</v>
      </c>
      <c r="AF88" s="398"/>
      <c r="AG88" s="402"/>
      <c r="AH88" s="397" t="s">
        <v>160</v>
      </c>
      <c r="AI88" s="372" t="s">
        <v>375</v>
      </c>
      <c r="AJ88" s="398"/>
      <c r="AK88" s="402"/>
      <c r="AL88" s="397" t="s">
        <v>160</v>
      </c>
      <c r="AM88" s="372" t="s">
        <v>375</v>
      </c>
      <c r="AN88" s="398"/>
      <c r="AO88" s="402"/>
      <c r="AP88" s="397" t="s">
        <v>160</v>
      </c>
      <c r="AQ88" s="372" t="s">
        <v>375</v>
      </c>
      <c r="AR88" s="398"/>
      <c r="AS88" s="402"/>
      <c r="AT88" s="397" t="s">
        <v>160</v>
      </c>
      <c r="AU88" s="372" t="s">
        <v>375</v>
      </c>
      <c r="AV88" s="398"/>
      <c r="AW88" s="402"/>
    </row>
    <row r="89" spans="1:49" s="32" customFormat="1" ht="15.75">
      <c r="A89" s="299"/>
      <c r="B89" s="341" t="s">
        <v>75</v>
      </c>
      <c r="C89" s="341" t="s">
        <v>13</v>
      </c>
      <c r="D89" s="524">
        <v>3412</v>
      </c>
      <c r="E89" s="524">
        <v>3412</v>
      </c>
      <c r="F89"/>
      <c r="G89" s="20" t="s">
        <v>218</v>
      </c>
      <c r="H89" s="84" t="s">
        <v>388</v>
      </c>
      <c r="I89" s="85" t="s">
        <v>25</v>
      </c>
      <c r="J89" s="664"/>
      <c r="K89" s="174"/>
      <c r="L89" s="175"/>
      <c r="M89" s="183">
        <v>0.15</v>
      </c>
      <c r="N89" s="184" t="e">
        <f>M89/$J89*#REF!</f>
        <v>#DIV/0!</v>
      </c>
      <c r="O89" s="185"/>
      <c r="P89" s="186"/>
      <c r="Q89" s="183"/>
      <c r="R89" s="187"/>
      <c r="S89" s="223">
        <f>K89+M89+O89+Q89</f>
        <v>0.15</v>
      </c>
      <c r="T89" s="661" t="e">
        <f>L89+N89+P89+R89</f>
        <v>#DIV/0!</v>
      </c>
      <c r="U89" s="661" t="e">
        <f>#REF!-T89</f>
        <v>#REF!</v>
      </c>
      <c r="V89" s="20" t="s">
        <v>218</v>
      </c>
      <c r="W89" s="84" t="s">
        <v>388</v>
      </c>
      <c r="X89" s="85" t="s">
        <v>25</v>
      </c>
      <c r="Y89" s="158"/>
      <c r="Z89" s="20" t="s">
        <v>218</v>
      </c>
      <c r="AA89" s="84" t="s">
        <v>388</v>
      </c>
      <c r="AB89" s="85" t="s">
        <v>25</v>
      </c>
      <c r="AC89" s="158"/>
      <c r="AD89" s="20" t="s">
        <v>218</v>
      </c>
      <c r="AE89" s="84" t="s">
        <v>388</v>
      </c>
      <c r="AF89" s="85" t="s">
        <v>25</v>
      </c>
      <c r="AG89" s="659"/>
      <c r="AH89" s="20" t="s">
        <v>218</v>
      </c>
      <c r="AI89" s="84" t="s">
        <v>388</v>
      </c>
      <c r="AJ89" s="85" t="s">
        <v>25</v>
      </c>
      <c r="AK89" s="158"/>
      <c r="AL89" s="20" t="s">
        <v>218</v>
      </c>
      <c r="AM89" s="84" t="s">
        <v>388</v>
      </c>
      <c r="AN89" s="85" t="s">
        <v>25</v>
      </c>
      <c r="AO89" s="158"/>
      <c r="AP89" s="20" t="s">
        <v>218</v>
      </c>
      <c r="AQ89" s="84" t="s">
        <v>388</v>
      </c>
      <c r="AR89" s="85" t="s">
        <v>25</v>
      </c>
      <c r="AS89" s="659"/>
      <c r="AT89" s="20" t="s">
        <v>218</v>
      </c>
      <c r="AU89" s="84" t="s">
        <v>388</v>
      </c>
      <c r="AV89" s="85" t="s">
        <v>25</v>
      </c>
      <c r="AW89" s="158"/>
    </row>
    <row r="90" spans="1:49" s="32" customFormat="1" ht="15.75">
      <c r="A90" s="299"/>
      <c r="B90" s="341" t="s">
        <v>139</v>
      </c>
      <c r="C90" s="341" t="s">
        <v>28</v>
      </c>
      <c r="D90" s="378">
        <v>1250</v>
      </c>
      <c r="E90" s="378">
        <v>1250</v>
      </c>
      <c r="F90"/>
      <c r="G90" s="20" t="s">
        <v>399</v>
      </c>
      <c r="H90" s="84" t="s">
        <v>139</v>
      </c>
      <c r="I90" s="85" t="s">
        <v>28</v>
      </c>
      <c r="J90" s="333">
        <f aca="true" t="shared" si="6" ref="J90:J100">Y90+AC90+AG90+AK90+AO90+AS90+AW90</f>
        <v>0.384</v>
      </c>
      <c r="K90" s="174"/>
      <c r="L90" s="175"/>
      <c r="M90" s="183">
        <v>0.19</v>
      </c>
      <c r="N90" s="184" t="e">
        <f>M90/$J90*#REF!</f>
        <v>#REF!</v>
      </c>
      <c r="O90" s="185"/>
      <c r="P90" s="186"/>
      <c r="Q90" s="183"/>
      <c r="R90" s="187"/>
      <c r="S90" s="223">
        <f aca="true" t="shared" si="7" ref="S90:T101">K90+M90+O90+Q90</f>
        <v>0.19</v>
      </c>
      <c r="T90" s="661" t="e">
        <f t="shared" si="7"/>
        <v>#REF!</v>
      </c>
      <c r="U90" s="661" t="e">
        <f>#REF!-T90</f>
        <v>#REF!</v>
      </c>
      <c r="V90" s="20" t="s">
        <v>399</v>
      </c>
      <c r="W90" s="3" t="s">
        <v>139</v>
      </c>
      <c r="X90" s="11" t="s">
        <v>28</v>
      </c>
      <c r="Y90" s="158"/>
      <c r="Z90" s="20" t="s">
        <v>399</v>
      </c>
      <c r="AA90" s="3" t="s">
        <v>139</v>
      </c>
      <c r="AB90" s="11" t="s">
        <v>28</v>
      </c>
      <c r="AC90" s="158"/>
      <c r="AD90" s="20" t="s">
        <v>399</v>
      </c>
      <c r="AE90" s="3" t="s">
        <v>139</v>
      </c>
      <c r="AF90" s="11" t="s">
        <v>28</v>
      </c>
      <c r="AG90" s="659">
        <v>0.028</v>
      </c>
      <c r="AH90" s="20" t="s">
        <v>399</v>
      </c>
      <c r="AI90" s="3" t="s">
        <v>139</v>
      </c>
      <c r="AJ90" s="11" t="s">
        <v>28</v>
      </c>
      <c r="AK90" s="659">
        <v>0.298</v>
      </c>
      <c r="AL90" s="20" t="s">
        <v>399</v>
      </c>
      <c r="AM90" s="3" t="s">
        <v>139</v>
      </c>
      <c r="AN90" s="11" t="s">
        <v>28</v>
      </c>
      <c r="AO90" s="158">
        <v>0.058</v>
      </c>
      <c r="AP90" s="20" t="s">
        <v>399</v>
      </c>
      <c r="AQ90" s="3" t="s">
        <v>139</v>
      </c>
      <c r="AR90" s="11" t="s">
        <v>28</v>
      </c>
      <c r="AS90" s="659"/>
      <c r="AT90" s="20" t="s">
        <v>399</v>
      </c>
      <c r="AU90" s="3" t="s">
        <v>139</v>
      </c>
      <c r="AV90" s="11" t="s">
        <v>28</v>
      </c>
      <c r="AW90" s="158"/>
    </row>
    <row r="91" spans="1:49" s="32" customFormat="1" ht="15.75">
      <c r="A91" s="299"/>
      <c r="B91" s="341" t="s">
        <v>73</v>
      </c>
      <c r="C91" s="341"/>
      <c r="D91" s="377">
        <v>0.242</v>
      </c>
      <c r="E91" s="377">
        <v>0.242</v>
      </c>
      <c r="F91"/>
      <c r="G91" s="20" t="s">
        <v>400</v>
      </c>
      <c r="H91" s="84" t="s">
        <v>73</v>
      </c>
      <c r="I91" s="11" t="s">
        <v>70</v>
      </c>
      <c r="J91" s="334">
        <f t="shared" si="6"/>
        <v>18</v>
      </c>
      <c r="K91" s="174"/>
      <c r="L91" s="175"/>
      <c r="M91" s="183"/>
      <c r="N91" s="184"/>
      <c r="O91" s="185"/>
      <c r="P91" s="186"/>
      <c r="Q91" s="183"/>
      <c r="R91" s="187"/>
      <c r="S91" s="223">
        <f t="shared" si="7"/>
        <v>0</v>
      </c>
      <c r="T91" s="661">
        <f t="shared" si="7"/>
        <v>0</v>
      </c>
      <c r="U91" s="661" t="e">
        <f>#REF!-T91</f>
        <v>#REF!</v>
      </c>
      <c r="V91" s="20" t="s">
        <v>400</v>
      </c>
      <c r="W91" s="3" t="s">
        <v>73</v>
      </c>
      <c r="X91" s="11" t="s">
        <v>70</v>
      </c>
      <c r="Y91" s="158"/>
      <c r="Z91" s="20" t="s">
        <v>400</v>
      </c>
      <c r="AA91" s="3" t="s">
        <v>73</v>
      </c>
      <c r="AB91" s="11" t="s">
        <v>70</v>
      </c>
      <c r="AC91" s="158"/>
      <c r="AD91" s="20" t="s">
        <v>400</v>
      </c>
      <c r="AE91" s="3" t="s">
        <v>73</v>
      </c>
      <c r="AF91" s="11" t="s">
        <v>70</v>
      </c>
      <c r="AG91" s="158"/>
      <c r="AH91" s="20" t="s">
        <v>400</v>
      </c>
      <c r="AI91" s="3" t="s">
        <v>73</v>
      </c>
      <c r="AJ91" s="11" t="s">
        <v>70</v>
      </c>
      <c r="AK91" s="158">
        <v>6</v>
      </c>
      <c r="AL91" s="20" t="s">
        <v>400</v>
      </c>
      <c r="AM91" s="3" t="s">
        <v>73</v>
      </c>
      <c r="AN91" s="11" t="s">
        <v>70</v>
      </c>
      <c r="AO91" s="158"/>
      <c r="AP91" s="20" t="s">
        <v>400</v>
      </c>
      <c r="AQ91" s="3" t="s">
        <v>73</v>
      </c>
      <c r="AR91" s="11" t="s">
        <v>70</v>
      </c>
      <c r="AS91" s="158">
        <v>6</v>
      </c>
      <c r="AT91" s="20" t="s">
        <v>400</v>
      </c>
      <c r="AU91" s="3" t="s">
        <v>73</v>
      </c>
      <c r="AV91" s="11" t="s">
        <v>70</v>
      </c>
      <c r="AW91" s="158">
        <v>6</v>
      </c>
    </row>
    <row r="92" spans="1:49" s="32" customFormat="1" ht="15.75">
      <c r="A92" s="299"/>
      <c r="B92" s="341" t="s">
        <v>67</v>
      </c>
      <c r="C92" s="341" t="s">
        <v>13</v>
      </c>
      <c r="D92" s="344">
        <v>550</v>
      </c>
      <c r="E92" s="344">
        <v>550</v>
      </c>
      <c r="F92"/>
      <c r="G92" s="20" t="s">
        <v>219</v>
      </c>
      <c r="H92" s="84" t="s">
        <v>67</v>
      </c>
      <c r="I92" s="85" t="s">
        <v>13</v>
      </c>
      <c r="J92" s="333">
        <f t="shared" si="6"/>
        <v>0</v>
      </c>
      <c r="K92" s="174"/>
      <c r="L92" s="175"/>
      <c r="M92" s="183">
        <v>0.035</v>
      </c>
      <c r="N92" s="184" t="e">
        <f>M92/$J92*#REF!</f>
        <v>#DIV/0!</v>
      </c>
      <c r="O92" s="185"/>
      <c r="P92" s="186"/>
      <c r="Q92" s="183"/>
      <c r="R92" s="187"/>
      <c r="S92" s="223">
        <f t="shared" si="7"/>
        <v>0.035</v>
      </c>
      <c r="T92" s="661" t="e">
        <f t="shared" si="7"/>
        <v>#DIV/0!</v>
      </c>
      <c r="U92" s="661" t="e">
        <f>#REF!-T92</f>
        <v>#REF!</v>
      </c>
      <c r="V92" s="20" t="s">
        <v>219</v>
      </c>
      <c r="W92" s="3" t="s">
        <v>67</v>
      </c>
      <c r="X92" s="11" t="s">
        <v>13</v>
      </c>
      <c r="Y92" s="158"/>
      <c r="Z92" s="20" t="s">
        <v>219</v>
      </c>
      <c r="AA92" s="3" t="s">
        <v>67</v>
      </c>
      <c r="AB92" s="11" t="s">
        <v>13</v>
      </c>
      <c r="AC92" s="158"/>
      <c r="AD92" s="20" t="s">
        <v>219</v>
      </c>
      <c r="AE92" s="3" t="s">
        <v>67</v>
      </c>
      <c r="AF92" s="11" t="s">
        <v>13</v>
      </c>
      <c r="AG92" s="158"/>
      <c r="AH92" s="20" t="s">
        <v>219</v>
      </c>
      <c r="AI92" s="3" t="s">
        <v>67</v>
      </c>
      <c r="AJ92" s="11" t="s">
        <v>13</v>
      </c>
      <c r="AK92" s="158"/>
      <c r="AL92" s="20" t="s">
        <v>219</v>
      </c>
      <c r="AM92" s="3" t="s">
        <v>67</v>
      </c>
      <c r="AN92" s="11" t="s">
        <v>13</v>
      </c>
      <c r="AO92" s="659"/>
      <c r="AP92" s="20" t="s">
        <v>219</v>
      </c>
      <c r="AQ92" s="3" t="s">
        <v>67</v>
      </c>
      <c r="AR92" s="11" t="s">
        <v>13</v>
      </c>
      <c r="AS92" s="158"/>
      <c r="AT92" s="20" t="s">
        <v>219</v>
      </c>
      <c r="AU92" s="3" t="s">
        <v>67</v>
      </c>
      <c r="AV92" s="11" t="s">
        <v>13</v>
      </c>
      <c r="AW92" s="158"/>
    </row>
    <row r="93" spans="1:49" s="32" customFormat="1" ht="15.75">
      <c r="A93" s="299"/>
      <c r="B93" s="3" t="s">
        <v>372</v>
      </c>
      <c r="C93" s="341" t="s">
        <v>10</v>
      </c>
      <c r="D93" s="344">
        <v>0</v>
      </c>
      <c r="E93" s="344">
        <v>0</v>
      </c>
      <c r="F93"/>
      <c r="G93" s="20" t="s">
        <v>401</v>
      </c>
      <c r="H93" s="3" t="s">
        <v>372</v>
      </c>
      <c r="I93" s="85" t="s">
        <v>10</v>
      </c>
      <c r="J93" s="334">
        <f t="shared" si="6"/>
        <v>1</v>
      </c>
      <c r="K93" s="174"/>
      <c r="L93" s="175"/>
      <c r="M93" s="183"/>
      <c r="N93" s="184"/>
      <c r="O93" s="185"/>
      <c r="P93" s="186"/>
      <c r="Q93" s="183"/>
      <c r="R93" s="187"/>
      <c r="S93" s="223">
        <f t="shared" si="7"/>
        <v>0</v>
      </c>
      <c r="T93" s="661">
        <f t="shared" si="7"/>
        <v>0</v>
      </c>
      <c r="U93" s="661" t="e">
        <f>#REF!-T93</f>
        <v>#REF!</v>
      </c>
      <c r="V93" s="20" t="s">
        <v>401</v>
      </c>
      <c r="W93" s="3" t="s">
        <v>372</v>
      </c>
      <c r="X93" s="11" t="s">
        <v>10</v>
      </c>
      <c r="Y93" s="158"/>
      <c r="Z93" s="20" t="s">
        <v>401</v>
      </c>
      <c r="AA93" s="3" t="s">
        <v>372</v>
      </c>
      <c r="AB93" s="11" t="s">
        <v>10</v>
      </c>
      <c r="AC93" s="158"/>
      <c r="AD93" s="20" t="s">
        <v>401</v>
      </c>
      <c r="AE93" s="3" t="s">
        <v>372</v>
      </c>
      <c r="AF93" s="11" t="s">
        <v>10</v>
      </c>
      <c r="AG93" s="158"/>
      <c r="AH93" s="20" t="s">
        <v>401</v>
      </c>
      <c r="AI93" s="3" t="s">
        <v>372</v>
      </c>
      <c r="AJ93" s="11" t="s">
        <v>10</v>
      </c>
      <c r="AK93" s="158"/>
      <c r="AL93" s="20" t="s">
        <v>401</v>
      </c>
      <c r="AM93" s="3" t="s">
        <v>372</v>
      </c>
      <c r="AN93" s="11" t="s">
        <v>10</v>
      </c>
      <c r="AO93" s="158"/>
      <c r="AP93" s="20" t="s">
        <v>401</v>
      </c>
      <c r="AQ93" s="3" t="s">
        <v>372</v>
      </c>
      <c r="AR93" s="11" t="s">
        <v>10</v>
      </c>
      <c r="AS93" s="158">
        <v>1</v>
      </c>
      <c r="AT93" s="20" t="s">
        <v>401</v>
      </c>
      <c r="AU93" s="3" t="s">
        <v>372</v>
      </c>
      <c r="AV93" s="11" t="s">
        <v>10</v>
      </c>
      <c r="AW93" s="158"/>
    </row>
    <row r="94" spans="1:49" s="32" customFormat="1" ht="15.75">
      <c r="A94" s="78"/>
      <c r="B94" s="98" t="s">
        <v>50</v>
      </c>
      <c r="C94" s="98" t="s">
        <v>25</v>
      </c>
      <c r="D94" s="100">
        <v>0</v>
      </c>
      <c r="E94" s="100">
        <v>0</v>
      </c>
      <c r="F94"/>
      <c r="G94" s="20" t="s">
        <v>402</v>
      </c>
      <c r="H94" s="84" t="s">
        <v>50</v>
      </c>
      <c r="I94" s="85" t="s">
        <v>25</v>
      </c>
      <c r="J94" s="334">
        <f t="shared" si="6"/>
        <v>0</v>
      </c>
      <c r="K94" s="174"/>
      <c r="L94" s="175">
        <v>2.5</v>
      </c>
      <c r="M94" s="183"/>
      <c r="N94" s="184"/>
      <c r="O94" s="185"/>
      <c r="P94" s="186">
        <v>2.5</v>
      </c>
      <c r="Q94" s="183"/>
      <c r="R94" s="187">
        <v>5</v>
      </c>
      <c r="S94" s="223">
        <f t="shared" si="7"/>
        <v>0</v>
      </c>
      <c r="T94" s="661">
        <f t="shared" si="7"/>
        <v>10</v>
      </c>
      <c r="U94" s="661" t="e">
        <f>#REF!-T94</f>
        <v>#REF!</v>
      </c>
      <c r="V94" s="20" t="s">
        <v>402</v>
      </c>
      <c r="W94" s="3" t="s">
        <v>50</v>
      </c>
      <c r="X94" s="11" t="s">
        <v>25</v>
      </c>
      <c r="Y94" s="158"/>
      <c r="Z94" s="20" t="s">
        <v>402</v>
      </c>
      <c r="AA94" s="3" t="s">
        <v>50</v>
      </c>
      <c r="AB94" s="11" t="s">
        <v>25</v>
      </c>
      <c r="AC94" s="158"/>
      <c r="AD94" s="20" t="s">
        <v>402</v>
      </c>
      <c r="AE94" s="3" t="s">
        <v>50</v>
      </c>
      <c r="AF94" s="11" t="s">
        <v>25</v>
      </c>
      <c r="AG94" s="158"/>
      <c r="AH94" s="20" t="s">
        <v>402</v>
      </c>
      <c r="AI94" s="3" t="s">
        <v>50</v>
      </c>
      <c r="AJ94" s="11" t="s">
        <v>25</v>
      </c>
      <c r="AK94" s="158"/>
      <c r="AL94" s="20" t="s">
        <v>402</v>
      </c>
      <c r="AM94" s="3" t="s">
        <v>50</v>
      </c>
      <c r="AN94" s="11" t="s">
        <v>25</v>
      </c>
      <c r="AO94" s="158"/>
      <c r="AP94" s="20" t="s">
        <v>402</v>
      </c>
      <c r="AQ94" s="3" t="s">
        <v>50</v>
      </c>
      <c r="AR94" s="11" t="s">
        <v>25</v>
      </c>
      <c r="AS94" s="158"/>
      <c r="AT94" s="20" t="s">
        <v>402</v>
      </c>
      <c r="AU94" s="3" t="s">
        <v>50</v>
      </c>
      <c r="AV94" s="11" t="s">
        <v>25</v>
      </c>
      <c r="AW94" s="158"/>
    </row>
    <row r="95" spans="1:49" s="32" customFormat="1" ht="15.75">
      <c r="A95" s="78"/>
      <c r="B95" s="98" t="s">
        <v>51</v>
      </c>
      <c r="C95" s="98" t="s">
        <v>10</v>
      </c>
      <c r="D95" s="100">
        <v>0</v>
      </c>
      <c r="E95" s="100">
        <v>0</v>
      </c>
      <c r="F95"/>
      <c r="G95" s="20" t="s">
        <v>403</v>
      </c>
      <c r="H95" s="84" t="s">
        <v>51</v>
      </c>
      <c r="I95" s="85" t="s">
        <v>25</v>
      </c>
      <c r="J95" s="334">
        <f t="shared" si="6"/>
        <v>0</v>
      </c>
      <c r="K95" s="174"/>
      <c r="L95" s="175"/>
      <c r="M95" s="183"/>
      <c r="N95" s="184">
        <v>34</v>
      </c>
      <c r="O95" s="185"/>
      <c r="P95" s="186"/>
      <c r="Q95" s="183"/>
      <c r="R95" s="187"/>
      <c r="S95" s="223">
        <f t="shared" si="7"/>
        <v>0</v>
      </c>
      <c r="T95" s="661">
        <f t="shared" si="7"/>
        <v>34</v>
      </c>
      <c r="U95" s="661" t="e">
        <f>#REF!-T95</f>
        <v>#REF!</v>
      </c>
      <c r="V95" s="20" t="s">
        <v>403</v>
      </c>
      <c r="W95" s="3" t="s">
        <v>51</v>
      </c>
      <c r="X95" s="85" t="s">
        <v>25</v>
      </c>
      <c r="Y95" s="158"/>
      <c r="Z95" s="20" t="s">
        <v>403</v>
      </c>
      <c r="AA95" s="3" t="s">
        <v>51</v>
      </c>
      <c r="AB95" s="85" t="s">
        <v>25</v>
      </c>
      <c r="AC95" s="158"/>
      <c r="AD95" s="20" t="s">
        <v>403</v>
      </c>
      <c r="AE95" s="3" t="s">
        <v>51</v>
      </c>
      <c r="AF95" s="85" t="s">
        <v>25</v>
      </c>
      <c r="AG95" s="158"/>
      <c r="AH95" s="20" t="s">
        <v>403</v>
      </c>
      <c r="AI95" s="3" t="s">
        <v>51</v>
      </c>
      <c r="AJ95" s="85" t="s">
        <v>25</v>
      </c>
      <c r="AK95" s="158"/>
      <c r="AL95" s="20" t="s">
        <v>403</v>
      </c>
      <c r="AM95" s="3" t="s">
        <v>51</v>
      </c>
      <c r="AN95" s="85" t="s">
        <v>25</v>
      </c>
      <c r="AO95" s="158"/>
      <c r="AP95" s="20" t="s">
        <v>403</v>
      </c>
      <c r="AQ95" s="3" t="s">
        <v>51</v>
      </c>
      <c r="AR95" s="85" t="s">
        <v>25</v>
      </c>
      <c r="AS95" s="158"/>
      <c r="AT95" s="20" t="s">
        <v>403</v>
      </c>
      <c r="AU95" s="3" t="s">
        <v>51</v>
      </c>
      <c r="AV95" s="85" t="s">
        <v>25</v>
      </c>
      <c r="AW95" s="158"/>
    </row>
    <row r="96" spans="1:49" s="32" customFormat="1" ht="15.75">
      <c r="A96" s="78"/>
      <c r="B96" s="98" t="s">
        <v>53</v>
      </c>
      <c r="C96" s="98" t="s">
        <v>70</v>
      </c>
      <c r="D96" s="535">
        <v>0.5</v>
      </c>
      <c r="E96" s="535">
        <v>0.5</v>
      </c>
      <c r="F96"/>
      <c r="G96" s="20" t="s">
        <v>404</v>
      </c>
      <c r="H96" s="84" t="s">
        <v>53</v>
      </c>
      <c r="I96" s="85" t="s">
        <v>70</v>
      </c>
      <c r="J96" s="334">
        <f t="shared" si="6"/>
        <v>49.99999999999999</v>
      </c>
      <c r="K96" s="174"/>
      <c r="L96" s="175"/>
      <c r="M96" s="183">
        <v>50</v>
      </c>
      <c r="N96" s="184">
        <v>25</v>
      </c>
      <c r="O96" s="185"/>
      <c r="P96" s="186"/>
      <c r="Q96" s="183"/>
      <c r="R96" s="187"/>
      <c r="S96" s="223">
        <f t="shared" si="7"/>
        <v>50</v>
      </c>
      <c r="T96" s="661">
        <f t="shared" si="7"/>
        <v>25</v>
      </c>
      <c r="U96" s="661" t="e">
        <f>#REF!-T96</f>
        <v>#REF!</v>
      </c>
      <c r="V96" s="20" t="s">
        <v>404</v>
      </c>
      <c r="W96" s="3" t="s">
        <v>53</v>
      </c>
      <c r="X96" s="11" t="s">
        <v>70</v>
      </c>
      <c r="Y96" s="257">
        <f>Y22/$J$22*50</f>
        <v>12.406890169877155</v>
      </c>
      <c r="Z96" s="20" t="s">
        <v>404</v>
      </c>
      <c r="AA96" s="3" t="s">
        <v>53</v>
      </c>
      <c r="AB96" s="11" t="s">
        <v>70</v>
      </c>
      <c r="AC96" s="257">
        <f>AC22/$J$22*50</f>
        <v>4.134950887589035</v>
      </c>
      <c r="AD96" s="20" t="s">
        <v>404</v>
      </c>
      <c r="AE96" s="3" t="s">
        <v>53</v>
      </c>
      <c r="AF96" s="11" t="s">
        <v>70</v>
      </c>
      <c r="AG96" s="257">
        <f>AG22/$J$22*50</f>
        <v>9.785976857315076</v>
      </c>
      <c r="AH96" s="20" t="s">
        <v>404</v>
      </c>
      <c r="AI96" s="3" t="s">
        <v>53</v>
      </c>
      <c r="AJ96" s="11" t="s">
        <v>70</v>
      </c>
      <c r="AK96" s="257">
        <f>AK22/$J$22*50</f>
        <v>8.110240454137696</v>
      </c>
      <c r="AL96" s="20" t="s">
        <v>404</v>
      </c>
      <c r="AM96" s="3" t="s">
        <v>53</v>
      </c>
      <c r="AN96" s="11" t="s">
        <v>70</v>
      </c>
      <c r="AO96" s="257">
        <f>AO22/$J$22*50</f>
        <v>5.849116938758763</v>
      </c>
      <c r="AP96" s="20" t="s">
        <v>404</v>
      </c>
      <c r="AQ96" s="3" t="s">
        <v>53</v>
      </c>
      <c r="AR96" s="11" t="s">
        <v>70</v>
      </c>
      <c r="AS96" s="257">
        <f>AS22/$J$22*50</f>
        <v>7.441909823331154</v>
      </c>
      <c r="AT96" s="20" t="s">
        <v>404</v>
      </c>
      <c r="AU96" s="3" t="s">
        <v>53</v>
      </c>
      <c r="AV96" s="11" t="s">
        <v>70</v>
      </c>
      <c r="AW96" s="257">
        <f>AW22/$J$22*50</f>
        <v>2.270914868991123</v>
      </c>
    </row>
    <row r="97" spans="1:49" s="32" customFormat="1" ht="15.75">
      <c r="A97" s="78"/>
      <c r="B97" s="98" t="s">
        <v>54</v>
      </c>
      <c r="C97" s="98" t="s">
        <v>20</v>
      </c>
      <c r="D97" s="535">
        <v>0.5</v>
      </c>
      <c r="E97" s="535">
        <v>0.5</v>
      </c>
      <c r="F97"/>
      <c r="G97" s="20" t="s">
        <v>405</v>
      </c>
      <c r="H97" s="84" t="s">
        <v>54</v>
      </c>
      <c r="I97" s="85" t="s">
        <v>20</v>
      </c>
      <c r="J97" s="334">
        <f t="shared" si="6"/>
        <v>120</v>
      </c>
      <c r="K97" s="174">
        <v>30</v>
      </c>
      <c r="L97" s="175" t="e">
        <f>K97/$J97*#REF!</f>
        <v>#REF!</v>
      </c>
      <c r="M97" s="183">
        <v>20</v>
      </c>
      <c r="N97" s="184" t="e">
        <f>M97/$J97*#REF!-5</f>
        <v>#REF!</v>
      </c>
      <c r="O97" s="185">
        <v>20</v>
      </c>
      <c r="P97" s="186" t="e">
        <f>O97/$J97*#REF!</f>
        <v>#REF!</v>
      </c>
      <c r="Q97" s="183">
        <v>40</v>
      </c>
      <c r="R97" s="187" t="e">
        <f>Q97/$J97*#REF!+5</f>
        <v>#REF!</v>
      </c>
      <c r="S97" s="223">
        <f t="shared" si="7"/>
        <v>110</v>
      </c>
      <c r="T97" s="661" t="e">
        <f t="shared" si="7"/>
        <v>#REF!</v>
      </c>
      <c r="U97" s="661" t="e">
        <f>#REF!-T97</f>
        <v>#REF!</v>
      </c>
      <c r="V97" s="20" t="s">
        <v>405</v>
      </c>
      <c r="W97" s="3" t="s">
        <v>54</v>
      </c>
      <c r="X97" s="11" t="s">
        <v>20</v>
      </c>
      <c r="Y97" s="158">
        <v>30</v>
      </c>
      <c r="Z97" s="20" t="s">
        <v>405</v>
      </c>
      <c r="AA97" s="3" t="s">
        <v>54</v>
      </c>
      <c r="AB97" s="11" t="s">
        <v>20</v>
      </c>
      <c r="AC97" s="158">
        <v>4</v>
      </c>
      <c r="AD97" s="20" t="s">
        <v>405</v>
      </c>
      <c r="AE97" s="3" t="s">
        <v>54</v>
      </c>
      <c r="AF97" s="11" t="s">
        <v>20</v>
      </c>
      <c r="AG97" s="158">
        <v>20</v>
      </c>
      <c r="AH97" s="20" t="s">
        <v>405</v>
      </c>
      <c r="AI97" s="3" t="s">
        <v>54</v>
      </c>
      <c r="AJ97" s="11" t="s">
        <v>20</v>
      </c>
      <c r="AK97" s="158">
        <v>20</v>
      </c>
      <c r="AL97" s="20" t="s">
        <v>405</v>
      </c>
      <c r="AM97" s="3" t="s">
        <v>54</v>
      </c>
      <c r="AN97" s="11" t="s">
        <v>20</v>
      </c>
      <c r="AO97" s="158">
        <v>5</v>
      </c>
      <c r="AP97" s="20" t="s">
        <v>405</v>
      </c>
      <c r="AQ97" s="3" t="s">
        <v>54</v>
      </c>
      <c r="AR97" s="11" t="s">
        <v>20</v>
      </c>
      <c r="AS97" s="158">
        <v>38</v>
      </c>
      <c r="AT97" s="20" t="s">
        <v>405</v>
      </c>
      <c r="AU97" s="3" t="s">
        <v>54</v>
      </c>
      <c r="AV97" s="11" t="s">
        <v>20</v>
      </c>
      <c r="AW97" s="158">
        <v>3</v>
      </c>
    </row>
    <row r="98" spans="1:49" s="32" customFormat="1" ht="15.75" hidden="1">
      <c r="A98" s="78"/>
      <c r="B98" s="98" t="s">
        <v>56</v>
      </c>
      <c r="C98" s="98" t="s">
        <v>20</v>
      </c>
      <c r="D98" s="100">
        <v>4.269375</v>
      </c>
      <c r="E98" s="100">
        <v>4.269375</v>
      </c>
      <c r="F98"/>
      <c r="G98" s="20" t="s">
        <v>406</v>
      </c>
      <c r="H98" s="84" t="s">
        <v>56</v>
      </c>
      <c r="I98" s="85" t="s">
        <v>20</v>
      </c>
      <c r="J98" s="334">
        <f t="shared" si="6"/>
        <v>0</v>
      </c>
      <c r="K98" s="174"/>
      <c r="L98" s="175"/>
      <c r="M98" s="183"/>
      <c r="N98" s="184"/>
      <c r="O98" s="185"/>
      <c r="P98" s="186"/>
      <c r="Q98" s="183"/>
      <c r="R98" s="187"/>
      <c r="S98" s="223">
        <f t="shared" si="7"/>
        <v>0</v>
      </c>
      <c r="T98" s="661">
        <f t="shared" si="7"/>
        <v>0</v>
      </c>
      <c r="U98" s="661" t="e">
        <f>#REF!-T98</f>
        <v>#REF!</v>
      </c>
      <c r="V98" s="20" t="s">
        <v>406</v>
      </c>
      <c r="W98" s="3" t="s">
        <v>56</v>
      </c>
      <c r="X98" s="11" t="s">
        <v>20</v>
      </c>
      <c r="Y98" s="158"/>
      <c r="Z98" s="20" t="s">
        <v>406</v>
      </c>
      <c r="AA98" s="3" t="s">
        <v>56</v>
      </c>
      <c r="AB98" s="11" t="s">
        <v>20</v>
      </c>
      <c r="AC98" s="158"/>
      <c r="AD98" s="20" t="s">
        <v>406</v>
      </c>
      <c r="AE98" s="3" t="s">
        <v>56</v>
      </c>
      <c r="AF98" s="11" t="s">
        <v>20</v>
      </c>
      <c r="AG98" s="158"/>
      <c r="AH98" s="20" t="s">
        <v>406</v>
      </c>
      <c r="AI98" s="3" t="s">
        <v>56</v>
      </c>
      <c r="AJ98" s="11" t="s">
        <v>20</v>
      </c>
      <c r="AK98" s="158"/>
      <c r="AL98" s="20" t="s">
        <v>406</v>
      </c>
      <c r="AM98" s="3" t="s">
        <v>56</v>
      </c>
      <c r="AN98" s="11" t="s">
        <v>20</v>
      </c>
      <c r="AO98" s="158"/>
      <c r="AP98" s="20" t="s">
        <v>406</v>
      </c>
      <c r="AQ98" s="3" t="s">
        <v>56</v>
      </c>
      <c r="AR98" s="11" t="s">
        <v>20</v>
      </c>
      <c r="AS98" s="158"/>
      <c r="AT98" s="20" t="s">
        <v>406</v>
      </c>
      <c r="AU98" s="3" t="s">
        <v>56</v>
      </c>
      <c r="AV98" s="11" t="s">
        <v>20</v>
      </c>
      <c r="AW98" s="158"/>
    </row>
    <row r="99" spans="1:49" s="29" customFormat="1" ht="21" customHeight="1" hidden="1">
      <c r="A99" s="140"/>
      <c r="B99" s="368" t="s">
        <v>373</v>
      </c>
      <c r="C99" s="113" t="s">
        <v>13</v>
      </c>
      <c r="D99" s="524">
        <v>1322</v>
      </c>
      <c r="E99" s="524">
        <v>1322</v>
      </c>
      <c r="G99" s="20" t="s">
        <v>407</v>
      </c>
      <c r="H99" s="368" t="s">
        <v>373</v>
      </c>
      <c r="I99" s="85" t="s">
        <v>13</v>
      </c>
      <c r="J99" s="333">
        <f t="shared" si="6"/>
        <v>0</v>
      </c>
      <c r="K99" s="540"/>
      <c r="L99" s="541"/>
      <c r="M99" s="542"/>
      <c r="N99" s="543"/>
      <c r="O99" s="544"/>
      <c r="P99" s="545"/>
      <c r="Q99" s="542"/>
      <c r="R99" s="546"/>
      <c r="S99" s="547">
        <f t="shared" si="7"/>
        <v>0</v>
      </c>
      <c r="T99" s="548">
        <f t="shared" si="7"/>
        <v>0</v>
      </c>
      <c r="U99" s="548" t="e">
        <f>#REF!-T99</f>
        <v>#REF!</v>
      </c>
      <c r="V99" s="20" t="s">
        <v>407</v>
      </c>
      <c r="W99" s="368" t="s">
        <v>373</v>
      </c>
      <c r="X99" s="85" t="s">
        <v>25</v>
      </c>
      <c r="Y99" s="108"/>
      <c r="Z99" s="20" t="s">
        <v>407</v>
      </c>
      <c r="AA99" s="368" t="s">
        <v>373</v>
      </c>
      <c r="AB99" s="85" t="s">
        <v>25</v>
      </c>
      <c r="AC99" s="108"/>
      <c r="AD99" s="20" t="s">
        <v>407</v>
      </c>
      <c r="AE99" s="368" t="s">
        <v>373</v>
      </c>
      <c r="AF99" s="85" t="s">
        <v>25</v>
      </c>
      <c r="AG99" s="108"/>
      <c r="AH99" s="20" t="s">
        <v>407</v>
      </c>
      <c r="AI99" s="368" t="s">
        <v>373</v>
      </c>
      <c r="AJ99" s="85" t="s">
        <v>25</v>
      </c>
      <c r="AK99" s="108"/>
      <c r="AL99" s="20" t="s">
        <v>407</v>
      </c>
      <c r="AM99" s="368" t="s">
        <v>373</v>
      </c>
      <c r="AN99" s="85" t="s">
        <v>25</v>
      </c>
      <c r="AO99" s="108"/>
      <c r="AP99" s="20" t="s">
        <v>407</v>
      </c>
      <c r="AQ99" s="368" t="s">
        <v>373</v>
      </c>
      <c r="AR99" s="85" t="s">
        <v>25</v>
      </c>
      <c r="AS99" s="108"/>
      <c r="AT99" s="20" t="s">
        <v>407</v>
      </c>
      <c r="AU99" s="368" t="s">
        <v>373</v>
      </c>
      <c r="AV99" s="85" t="s">
        <v>25</v>
      </c>
      <c r="AW99" s="108"/>
    </row>
    <row r="100" spans="1:49" s="29" customFormat="1" ht="15.75">
      <c r="A100" s="78"/>
      <c r="B100" s="84" t="s">
        <v>374</v>
      </c>
      <c r="C100" s="98" t="s">
        <v>20</v>
      </c>
      <c r="D100" s="100">
        <v>0</v>
      </c>
      <c r="E100" s="100">
        <v>0</v>
      </c>
      <c r="G100" s="20" t="s">
        <v>161</v>
      </c>
      <c r="H100" s="84" t="s">
        <v>374</v>
      </c>
      <c r="I100" s="85" t="s">
        <v>20</v>
      </c>
      <c r="J100" s="334">
        <f t="shared" si="6"/>
        <v>1</v>
      </c>
      <c r="K100" s="540"/>
      <c r="L100" s="541"/>
      <c r="M100" s="542"/>
      <c r="N100" s="543"/>
      <c r="O100" s="540"/>
      <c r="P100" s="541"/>
      <c r="Q100" s="542"/>
      <c r="R100" s="546"/>
      <c r="S100" s="547">
        <f t="shared" si="7"/>
        <v>0</v>
      </c>
      <c r="T100" s="548">
        <f t="shared" si="7"/>
        <v>0</v>
      </c>
      <c r="U100" s="548" t="e">
        <f>#REF!-T100</f>
        <v>#REF!</v>
      </c>
      <c r="V100" s="20" t="s">
        <v>161</v>
      </c>
      <c r="W100" s="84" t="s">
        <v>374</v>
      </c>
      <c r="X100" s="85" t="s">
        <v>20</v>
      </c>
      <c r="Y100" s="108">
        <v>1</v>
      </c>
      <c r="Z100" s="20" t="s">
        <v>161</v>
      </c>
      <c r="AA100" s="84" t="s">
        <v>374</v>
      </c>
      <c r="AB100" s="85" t="s">
        <v>20</v>
      </c>
      <c r="AC100" s="108"/>
      <c r="AD100" s="20" t="s">
        <v>161</v>
      </c>
      <c r="AE100" s="84" t="s">
        <v>374</v>
      </c>
      <c r="AF100" s="85" t="s">
        <v>20</v>
      </c>
      <c r="AG100" s="108"/>
      <c r="AH100" s="20" t="s">
        <v>161</v>
      </c>
      <c r="AI100" s="84" t="s">
        <v>374</v>
      </c>
      <c r="AJ100" s="85" t="s">
        <v>20</v>
      </c>
      <c r="AK100" s="108"/>
      <c r="AL100" s="20" t="s">
        <v>161</v>
      </c>
      <c r="AM100" s="84" t="s">
        <v>374</v>
      </c>
      <c r="AN100" s="85" t="s">
        <v>20</v>
      </c>
      <c r="AO100" s="108"/>
      <c r="AP100" s="20" t="s">
        <v>161</v>
      </c>
      <c r="AQ100" s="84" t="s">
        <v>374</v>
      </c>
      <c r="AR100" s="85" t="s">
        <v>20</v>
      </c>
      <c r="AS100" s="108"/>
      <c r="AT100" s="20" t="s">
        <v>161</v>
      </c>
      <c r="AU100" s="84" t="s">
        <v>374</v>
      </c>
      <c r="AV100" s="85" t="s">
        <v>20</v>
      </c>
      <c r="AW100" s="108"/>
    </row>
    <row r="101" spans="1:49" s="29" customFormat="1" ht="15.75">
      <c r="A101" s="78"/>
      <c r="B101" s="84" t="s">
        <v>259</v>
      </c>
      <c r="C101" s="98" t="s">
        <v>25</v>
      </c>
      <c r="D101" s="100">
        <v>0</v>
      </c>
      <c r="E101" s="100">
        <v>0</v>
      </c>
      <c r="G101" s="20" t="s">
        <v>408</v>
      </c>
      <c r="H101" s="84" t="s">
        <v>259</v>
      </c>
      <c r="I101" s="85" t="s">
        <v>25</v>
      </c>
      <c r="J101" s="333"/>
      <c r="K101" s="540"/>
      <c r="L101" s="541"/>
      <c r="M101" s="540"/>
      <c r="N101" s="541" t="e">
        <f>#REF!/2+11.3</f>
        <v>#REF!</v>
      </c>
      <c r="O101" s="540"/>
      <c r="P101" s="541" t="e">
        <f>#REF!/2-11.3</f>
        <v>#REF!</v>
      </c>
      <c r="Q101" s="540"/>
      <c r="R101" s="549"/>
      <c r="S101" s="547">
        <f t="shared" si="7"/>
        <v>0</v>
      </c>
      <c r="T101" s="548" t="e">
        <f t="shared" si="7"/>
        <v>#REF!</v>
      </c>
      <c r="U101" s="548" t="e">
        <f>#REF!-T101</f>
        <v>#REF!</v>
      </c>
      <c r="V101" s="20" t="s">
        <v>408</v>
      </c>
      <c r="W101" s="84" t="s">
        <v>259</v>
      </c>
      <c r="X101" s="85" t="s">
        <v>25</v>
      </c>
      <c r="Y101" s="108"/>
      <c r="Z101" s="20" t="s">
        <v>408</v>
      </c>
      <c r="AA101" s="84" t="s">
        <v>259</v>
      </c>
      <c r="AB101" s="85" t="s">
        <v>25</v>
      </c>
      <c r="AC101" s="108"/>
      <c r="AD101" s="20" t="s">
        <v>408</v>
      </c>
      <c r="AE101" s="84" t="s">
        <v>259</v>
      </c>
      <c r="AF101" s="85" t="s">
        <v>25</v>
      </c>
      <c r="AG101" s="108"/>
      <c r="AH101" s="20" t="s">
        <v>408</v>
      </c>
      <c r="AI101" s="84" t="s">
        <v>259</v>
      </c>
      <c r="AJ101" s="85" t="s">
        <v>25</v>
      </c>
      <c r="AK101" s="108"/>
      <c r="AL101" s="20" t="s">
        <v>408</v>
      </c>
      <c r="AM101" s="84" t="s">
        <v>259</v>
      </c>
      <c r="AN101" s="85" t="s">
        <v>25</v>
      </c>
      <c r="AO101" s="108"/>
      <c r="AP101" s="20" t="s">
        <v>408</v>
      </c>
      <c r="AQ101" s="84" t="s">
        <v>259</v>
      </c>
      <c r="AR101" s="85" t="s">
        <v>25</v>
      </c>
      <c r="AS101" s="108"/>
      <c r="AT101" s="20" t="s">
        <v>408</v>
      </c>
      <c r="AU101" s="84" t="s">
        <v>259</v>
      </c>
      <c r="AV101" s="85" t="s">
        <v>25</v>
      </c>
      <c r="AW101" s="550"/>
    </row>
    <row r="102" spans="1:49" s="32" customFormat="1" ht="15.75">
      <c r="A102" s="78"/>
      <c r="B102" s="98"/>
      <c r="C102" s="98"/>
      <c r="D102" s="100">
        <v>0</v>
      </c>
      <c r="E102" s="100">
        <v>0</v>
      </c>
      <c r="F102"/>
      <c r="G102" s="39"/>
      <c r="H102" s="103" t="s">
        <v>216</v>
      </c>
      <c r="I102" s="104"/>
      <c r="J102" s="104"/>
      <c r="K102" s="70"/>
      <c r="L102" s="49" t="e">
        <f>SUM(L89:L101)</f>
        <v>#REF!</v>
      </c>
      <c r="M102" s="72"/>
      <c r="N102" s="49" t="e">
        <f>SUM(N89:N101)</f>
        <v>#DIV/0!</v>
      </c>
      <c r="O102" s="70"/>
      <c r="P102" s="49" t="e">
        <f>SUM(P89:P101)</f>
        <v>#REF!</v>
      </c>
      <c r="Q102" s="72"/>
      <c r="R102" s="49" t="e">
        <f>SUM(R89:R101)</f>
        <v>#REF!</v>
      </c>
      <c r="S102" s="217"/>
      <c r="T102" s="661"/>
      <c r="U102" s="661"/>
      <c r="V102" s="39"/>
      <c r="W102" s="41" t="s">
        <v>216</v>
      </c>
      <c r="X102" s="43"/>
      <c r="Y102" s="160"/>
      <c r="Z102" s="39"/>
      <c r="AA102" s="41" t="s">
        <v>216</v>
      </c>
      <c r="AB102" s="43"/>
      <c r="AC102" s="160"/>
      <c r="AD102" s="39"/>
      <c r="AE102" s="41" t="s">
        <v>216</v>
      </c>
      <c r="AF102" s="43"/>
      <c r="AG102" s="160"/>
      <c r="AH102" s="39"/>
      <c r="AI102" s="41" t="s">
        <v>216</v>
      </c>
      <c r="AJ102" s="43"/>
      <c r="AK102" s="160"/>
      <c r="AL102" s="39"/>
      <c r="AM102" s="41" t="s">
        <v>216</v>
      </c>
      <c r="AN102" s="43"/>
      <c r="AO102" s="160"/>
      <c r="AP102" s="39"/>
      <c r="AQ102" s="41" t="s">
        <v>216</v>
      </c>
      <c r="AR102" s="43"/>
      <c r="AS102" s="160"/>
      <c r="AT102" s="39"/>
      <c r="AU102" s="41" t="s">
        <v>216</v>
      </c>
      <c r="AV102" s="43"/>
      <c r="AW102" s="160"/>
    </row>
    <row r="103" spans="2:49" s="235" customFormat="1" ht="18.75">
      <c r="B103" s="407"/>
      <c r="C103" s="407"/>
      <c r="D103" s="525">
        <v>0</v>
      </c>
      <c r="E103" s="525">
        <v>0</v>
      </c>
      <c r="G103" s="397" t="s">
        <v>409</v>
      </c>
      <c r="H103" s="372" t="s">
        <v>29</v>
      </c>
      <c r="I103" s="398"/>
      <c r="J103" s="228"/>
      <c r="K103" s="408"/>
      <c r="L103" s="409"/>
      <c r="M103" s="410"/>
      <c r="N103" s="411"/>
      <c r="O103" s="412"/>
      <c r="P103" s="413"/>
      <c r="Q103" s="410"/>
      <c r="R103" s="414"/>
      <c r="S103" s="435"/>
      <c r="T103" s="439"/>
      <c r="U103" s="439"/>
      <c r="V103" s="397" t="s">
        <v>409</v>
      </c>
      <c r="W103" s="372" t="s">
        <v>29</v>
      </c>
      <c r="X103" s="398"/>
      <c r="Y103" s="402"/>
      <c r="Z103" s="397" t="s">
        <v>409</v>
      </c>
      <c r="AA103" s="372" t="s">
        <v>29</v>
      </c>
      <c r="AB103" s="398"/>
      <c r="AC103" s="402"/>
      <c r="AD103" s="397" t="s">
        <v>409</v>
      </c>
      <c r="AE103" s="372" t="s">
        <v>29</v>
      </c>
      <c r="AF103" s="398"/>
      <c r="AG103" s="402"/>
      <c r="AH103" s="397" t="s">
        <v>409</v>
      </c>
      <c r="AI103" s="372" t="s">
        <v>29</v>
      </c>
      <c r="AJ103" s="398"/>
      <c r="AK103" s="402"/>
      <c r="AL103" s="397" t="s">
        <v>409</v>
      </c>
      <c r="AM103" s="372" t="s">
        <v>29</v>
      </c>
      <c r="AN103" s="398"/>
      <c r="AO103" s="402"/>
      <c r="AP103" s="397" t="s">
        <v>409</v>
      </c>
      <c r="AQ103" s="372" t="s">
        <v>29</v>
      </c>
      <c r="AR103" s="398"/>
      <c r="AS103" s="402"/>
      <c r="AT103" s="397" t="s">
        <v>409</v>
      </c>
      <c r="AU103" s="372" t="s">
        <v>29</v>
      </c>
      <c r="AV103" s="398"/>
      <c r="AW103" s="402"/>
    </row>
    <row r="104" spans="1:49" s="30" customFormat="1" ht="18.75">
      <c r="A104" s="266"/>
      <c r="B104" s="557" t="s">
        <v>154</v>
      </c>
      <c r="C104" s="557" t="s">
        <v>28</v>
      </c>
      <c r="D104" s="558"/>
      <c r="E104" s="558"/>
      <c r="G104" s="448" t="s">
        <v>220</v>
      </c>
      <c r="H104" s="93" t="s">
        <v>154</v>
      </c>
      <c r="I104" s="562" t="s">
        <v>28</v>
      </c>
      <c r="J104" s="571">
        <f>J105+J106</f>
        <v>1.38495</v>
      </c>
      <c r="K104" s="620">
        <v>0.35</v>
      </c>
      <c r="L104" s="613" t="e">
        <f>K104/$J104*#REF!+245.5</f>
        <v>#REF!</v>
      </c>
      <c r="M104" s="621">
        <v>0.185</v>
      </c>
      <c r="N104" s="615" t="e">
        <f>M104/$J104*#REF!-75-49.8-100</f>
        <v>#REF!</v>
      </c>
      <c r="O104" s="622">
        <v>0.185</v>
      </c>
      <c r="P104" s="617" t="e">
        <f>O104/$J104*#REF!+100-366.1</f>
        <v>#REF!</v>
      </c>
      <c r="Q104" s="621">
        <v>0.35</v>
      </c>
      <c r="R104" s="618" t="e">
        <f>Q104/$J104*#REF!+75+170.5</f>
        <v>#REF!</v>
      </c>
      <c r="S104" s="611">
        <f aca="true" t="shared" si="8" ref="S104:T112">K104+M104+O104+Q104</f>
        <v>1.0699999999999998</v>
      </c>
      <c r="T104" s="612" t="e">
        <f t="shared" si="8"/>
        <v>#REF!</v>
      </c>
      <c r="U104" s="612" t="e">
        <f>#REF!-T104</f>
        <v>#REF!</v>
      </c>
      <c r="V104" s="448" t="s">
        <v>220</v>
      </c>
      <c r="W104" s="93" t="s">
        <v>231</v>
      </c>
      <c r="X104" s="562" t="s">
        <v>28</v>
      </c>
      <c r="Y104" s="567">
        <f>Y105+Y106</f>
        <v>0.28</v>
      </c>
      <c r="Z104" s="448" t="s">
        <v>220</v>
      </c>
      <c r="AA104" s="93" t="s">
        <v>154</v>
      </c>
      <c r="AB104" s="562" t="s">
        <v>28</v>
      </c>
      <c r="AC104" s="567">
        <f>AC105+AC106</f>
        <v>0.04916</v>
      </c>
      <c r="AD104" s="448" t="s">
        <v>220</v>
      </c>
      <c r="AE104" s="93" t="s">
        <v>154</v>
      </c>
      <c r="AF104" s="562" t="s">
        <v>28</v>
      </c>
      <c r="AG104" s="567">
        <f>AG105+AG106</f>
        <v>0.31645999999999996</v>
      </c>
      <c r="AH104" s="448" t="s">
        <v>220</v>
      </c>
      <c r="AI104" s="93" t="s">
        <v>154</v>
      </c>
      <c r="AJ104" s="562" t="s">
        <v>28</v>
      </c>
      <c r="AK104" s="567">
        <f>AK105+AK106</f>
        <v>0.28700000000000003</v>
      </c>
      <c r="AL104" s="448" t="s">
        <v>220</v>
      </c>
      <c r="AM104" s="93" t="s">
        <v>154</v>
      </c>
      <c r="AN104" s="562" t="s">
        <v>28</v>
      </c>
      <c r="AO104" s="567">
        <f>AO105+AO106</f>
        <v>0.1785</v>
      </c>
      <c r="AP104" s="448" t="s">
        <v>220</v>
      </c>
      <c r="AQ104" s="93" t="s">
        <v>154</v>
      </c>
      <c r="AR104" s="562" t="s">
        <v>28</v>
      </c>
      <c r="AS104" s="567">
        <f>AS105+AS106</f>
        <v>0.23745</v>
      </c>
      <c r="AT104" s="448" t="s">
        <v>220</v>
      </c>
      <c r="AU104" s="93" t="s">
        <v>154</v>
      </c>
      <c r="AV104" s="562" t="s">
        <v>28</v>
      </c>
      <c r="AW104" s="654">
        <f>AW105+AW106</f>
        <v>0.03638</v>
      </c>
    </row>
    <row r="105" spans="1:49" s="32" customFormat="1" ht="15.75">
      <c r="A105" s="78"/>
      <c r="B105" s="98" t="s">
        <v>349</v>
      </c>
      <c r="C105" s="98" t="s">
        <v>28</v>
      </c>
      <c r="D105" s="509">
        <v>1455</v>
      </c>
      <c r="E105" s="509">
        <v>1455</v>
      </c>
      <c r="F105"/>
      <c r="G105" s="20" t="s">
        <v>194</v>
      </c>
      <c r="H105" s="84" t="s">
        <v>349</v>
      </c>
      <c r="I105" s="85" t="s">
        <v>28</v>
      </c>
      <c r="J105" s="333">
        <f>Y105+AC105+AG105+AK105+AO105+AS105+AW105</f>
        <v>1.2194099999999999</v>
      </c>
      <c r="K105" s="174"/>
      <c r="L105" s="175"/>
      <c r="M105" s="183"/>
      <c r="N105" s="184"/>
      <c r="O105" s="185"/>
      <c r="P105" s="186"/>
      <c r="Q105" s="183"/>
      <c r="R105" s="187"/>
      <c r="S105" s="223"/>
      <c r="T105" s="661"/>
      <c r="U105" s="661"/>
      <c r="V105" s="20" t="s">
        <v>194</v>
      </c>
      <c r="W105" s="3" t="s">
        <v>349</v>
      </c>
      <c r="X105" s="11" t="s">
        <v>28</v>
      </c>
      <c r="Y105" s="206">
        <v>0.19</v>
      </c>
      <c r="Z105" s="20" t="s">
        <v>194</v>
      </c>
      <c r="AA105" s="3" t="s">
        <v>349</v>
      </c>
      <c r="AB105" s="11" t="s">
        <v>28</v>
      </c>
      <c r="AC105" s="206">
        <v>0.01</v>
      </c>
      <c r="AD105" s="20" t="s">
        <v>194</v>
      </c>
      <c r="AE105" s="3" t="s">
        <v>349</v>
      </c>
      <c r="AF105" s="11" t="s">
        <v>28</v>
      </c>
      <c r="AG105" s="206">
        <f>0.15+0.16646</f>
        <v>0.31645999999999996</v>
      </c>
      <c r="AH105" s="20" t="s">
        <v>194</v>
      </c>
      <c r="AI105" s="3" t="s">
        <v>349</v>
      </c>
      <c r="AJ105" s="11" t="s">
        <v>28</v>
      </c>
      <c r="AK105" s="206">
        <f>0.15+0.137</f>
        <v>0.28700000000000003</v>
      </c>
      <c r="AL105" s="20" t="s">
        <v>194</v>
      </c>
      <c r="AM105" s="3" t="s">
        <v>349</v>
      </c>
      <c r="AN105" s="11" t="s">
        <v>28</v>
      </c>
      <c r="AO105" s="206">
        <f>0.15+0.0285</f>
        <v>0.1785</v>
      </c>
      <c r="AP105" s="20" t="s">
        <v>194</v>
      </c>
      <c r="AQ105" s="3" t="s">
        <v>349</v>
      </c>
      <c r="AR105" s="11" t="s">
        <v>28</v>
      </c>
      <c r="AS105" s="206">
        <f>0.1+0.13745</f>
        <v>0.23745</v>
      </c>
      <c r="AT105" s="20" t="s">
        <v>194</v>
      </c>
      <c r="AU105" s="3" t="s">
        <v>349</v>
      </c>
      <c r="AV105" s="11" t="s">
        <v>28</v>
      </c>
      <c r="AW105" s="206"/>
    </row>
    <row r="106" spans="1:49" s="32" customFormat="1" ht="15.75">
      <c r="A106" s="78"/>
      <c r="B106" s="98" t="s">
        <v>350</v>
      </c>
      <c r="C106" s="98" t="s">
        <v>28</v>
      </c>
      <c r="D106" s="509">
        <v>3268</v>
      </c>
      <c r="E106" s="509">
        <v>3268</v>
      </c>
      <c r="F106"/>
      <c r="G106" s="20" t="s">
        <v>195</v>
      </c>
      <c r="H106" s="84" t="s">
        <v>350</v>
      </c>
      <c r="I106" s="85" t="s">
        <v>28</v>
      </c>
      <c r="J106" s="333">
        <f>Y106+AC106+AG106+AK106+AO106+AS106+AW106</f>
        <v>0.16554</v>
      </c>
      <c r="K106" s="174"/>
      <c r="L106" s="175"/>
      <c r="M106" s="183"/>
      <c r="N106" s="184"/>
      <c r="O106" s="185"/>
      <c r="P106" s="186"/>
      <c r="Q106" s="183"/>
      <c r="R106" s="187"/>
      <c r="S106" s="223"/>
      <c r="T106" s="661"/>
      <c r="U106" s="661"/>
      <c r="V106" s="20" t="s">
        <v>195</v>
      </c>
      <c r="W106" s="3" t="s">
        <v>350</v>
      </c>
      <c r="X106" s="11" t="s">
        <v>28</v>
      </c>
      <c r="Y106" s="206">
        <v>0.09</v>
      </c>
      <c r="Z106" s="20" t="s">
        <v>195</v>
      </c>
      <c r="AA106" s="3" t="s">
        <v>350</v>
      </c>
      <c r="AB106" s="11" t="s">
        <v>28</v>
      </c>
      <c r="AC106" s="206">
        <v>0.03916</v>
      </c>
      <c r="AD106" s="20" t="s">
        <v>195</v>
      </c>
      <c r="AE106" s="3" t="s">
        <v>350</v>
      </c>
      <c r="AF106" s="11" t="s">
        <v>28</v>
      </c>
      <c r="AG106" s="206"/>
      <c r="AH106" s="20" t="s">
        <v>195</v>
      </c>
      <c r="AI106" s="3" t="s">
        <v>350</v>
      </c>
      <c r="AJ106" s="11" t="s">
        <v>28</v>
      </c>
      <c r="AK106" s="206"/>
      <c r="AL106" s="20" t="s">
        <v>195</v>
      </c>
      <c r="AM106" s="3" t="s">
        <v>350</v>
      </c>
      <c r="AN106" s="11" t="s">
        <v>28</v>
      </c>
      <c r="AO106" s="206"/>
      <c r="AP106" s="20" t="s">
        <v>195</v>
      </c>
      <c r="AQ106" s="3" t="s">
        <v>350</v>
      </c>
      <c r="AR106" s="11" t="s">
        <v>28</v>
      </c>
      <c r="AS106" s="206"/>
      <c r="AT106" s="20" t="s">
        <v>195</v>
      </c>
      <c r="AU106" s="3" t="s">
        <v>350</v>
      </c>
      <c r="AV106" s="11" t="s">
        <v>28</v>
      </c>
      <c r="AW106" s="206">
        <v>0.03638</v>
      </c>
    </row>
    <row r="107" spans="1:49" s="32" customFormat="1" ht="15.75">
      <c r="A107" s="78"/>
      <c r="B107" s="98" t="s">
        <v>153</v>
      </c>
      <c r="C107" s="98" t="s">
        <v>215</v>
      </c>
      <c r="D107" s="510">
        <v>15.28</v>
      </c>
      <c r="E107" s="510">
        <v>20.517</v>
      </c>
      <c r="F107"/>
      <c r="G107" s="20" t="s">
        <v>196</v>
      </c>
      <c r="H107" s="84" t="s">
        <v>153</v>
      </c>
      <c r="I107" s="85" t="s">
        <v>11</v>
      </c>
      <c r="J107" s="334">
        <f>Y107+AC107+AG107+AK107+AO107+AS107+AW107</f>
        <v>7</v>
      </c>
      <c r="K107" s="174"/>
      <c r="L107" s="175"/>
      <c r="M107" s="183">
        <v>3</v>
      </c>
      <c r="N107" s="184" t="e">
        <f>M107/$J107*#REF!+100</f>
        <v>#REF!</v>
      </c>
      <c r="O107" s="185">
        <v>4</v>
      </c>
      <c r="P107" s="186" t="e">
        <f>O107/$J107*#REF!-100</f>
        <v>#REF!</v>
      </c>
      <c r="Q107" s="183"/>
      <c r="R107" s="187" t="e">
        <f>Q107/$J107*#REF!</f>
        <v>#REF!</v>
      </c>
      <c r="S107" s="223">
        <f t="shared" si="8"/>
        <v>7</v>
      </c>
      <c r="T107" s="661" t="e">
        <f t="shared" si="8"/>
        <v>#REF!</v>
      </c>
      <c r="U107" s="661" t="e">
        <f>#REF!-T107</f>
        <v>#REF!</v>
      </c>
      <c r="V107" s="20" t="s">
        <v>196</v>
      </c>
      <c r="W107" s="3" t="s">
        <v>153</v>
      </c>
      <c r="X107" s="11" t="s">
        <v>11</v>
      </c>
      <c r="Y107" s="158">
        <v>1</v>
      </c>
      <c r="Z107" s="20" t="s">
        <v>196</v>
      </c>
      <c r="AA107" s="3" t="s">
        <v>153</v>
      </c>
      <c r="AB107" s="11" t="s">
        <v>11</v>
      </c>
      <c r="AC107" s="158">
        <v>1</v>
      </c>
      <c r="AD107" s="20" t="s">
        <v>196</v>
      </c>
      <c r="AE107" s="3" t="s">
        <v>153</v>
      </c>
      <c r="AF107" s="11" t="s">
        <v>11</v>
      </c>
      <c r="AG107" s="158">
        <v>1</v>
      </c>
      <c r="AH107" s="20" t="s">
        <v>196</v>
      </c>
      <c r="AI107" s="3" t="s">
        <v>153</v>
      </c>
      <c r="AJ107" s="11" t="s">
        <v>11</v>
      </c>
      <c r="AK107" s="158">
        <v>1</v>
      </c>
      <c r="AL107" s="20" t="s">
        <v>196</v>
      </c>
      <c r="AM107" s="3" t="s">
        <v>153</v>
      </c>
      <c r="AN107" s="11" t="s">
        <v>11</v>
      </c>
      <c r="AO107" s="158">
        <v>1</v>
      </c>
      <c r="AP107" s="20" t="s">
        <v>196</v>
      </c>
      <c r="AQ107" s="3" t="s">
        <v>153</v>
      </c>
      <c r="AR107" s="11" t="s">
        <v>11</v>
      </c>
      <c r="AS107" s="158">
        <v>1</v>
      </c>
      <c r="AT107" s="20" t="s">
        <v>196</v>
      </c>
      <c r="AU107" s="3" t="s">
        <v>153</v>
      </c>
      <c r="AV107" s="11" t="s">
        <v>11</v>
      </c>
      <c r="AW107" s="158">
        <v>1</v>
      </c>
    </row>
    <row r="108" spans="1:49" s="32" customFormat="1" ht="15.75">
      <c r="A108" s="78"/>
      <c r="B108" s="98" t="s">
        <v>35</v>
      </c>
      <c r="C108" s="98" t="s">
        <v>28</v>
      </c>
      <c r="D108" s="509">
        <v>826</v>
      </c>
      <c r="E108" s="509">
        <v>826</v>
      </c>
      <c r="F108"/>
      <c r="G108" s="20" t="s">
        <v>197</v>
      </c>
      <c r="H108" s="84" t="s">
        <v>35</v>
      </c>
      <c r="I108" s="85" t="s">
        <v>28</v>
      </c>
      <c r="J108" s="333">
        <f>Y108+AC108+AG108+AK108+AO108+AS108+AW108</f>
        <v>0.12000000000000001</v>
      </c>
      <c r="K108" s="174"/>
      <c r="L108" s="175"/>
      <c r="M108" s="183"/>
      <c r="N108" s="184"/>
      <c r="O108" s="185"/>
      <c r="P108" s="186"/>
      <c r="Q108" s="183"/>
      <c r="R108" s="187"/>
      <c r="S108" s="223">
        <f t="shared" si="8"/>
        <v>0</v>
      </c>
      <c r="T108" s="661">
        <f t="shared" si="8"/>
        <v>0</v>
      </c>
      <c r="U108" s="661" t="e">
        <f>#REF!-T108</f>
        <v>#REF!</v>
      </c>
      <c r="V108" s="20" t="s">
        <v>197</v>
      </c>
      <c r="W108" s="3" t="s">
        <v>35</v>
      </c>
      <c r="X108" s="11" t="s">
        <v>28</v>
      </c>
      <c r="Y108" s="158"/>
      <c r="Z108" s="20" t="s">
        <v>197</v>
      </c>
      <c r="AA108" s="3" t="s">
        <v>35</v>
      </c>
      <c r="AB108" s="11" t="s">
        <v>28</v>
      </c>
      <c r="AC108" s="206">
        <v>0.05</v>
      </c>
      <c r="AD108" s="20" t="s">
        <v>197</v>
      </c>
      <c r="AE108" s="3" t="s">
        <v>35</v>
      </c>
      <c r="AF108" s="11" t="s">
        <v>28</v>
      </c>
      <c r="AG108" s="206">
        <v>0.07</v>
      </c>
      <c r="AH108" s="20" t="s">
        <v>197</v>
      </c>
      <c r="AI108" s="3" t="s">
        <v>35</v>
      </c>
      <c r="AJ108" s="11" t="s">
        <v>28</v>
      </c>
      <c r="AK108" s="158"/>
      <c r="AL108" s="20" t="s">
        <v>197</v>
      </c>
      <c r="AM108" s="3" t="s">
        <v>35</v>
      </c>
      <c r="AN108" s="11" t="s">
        <v>28</v>
      </c>
      <c r="AO108" s="158"/>
      <c r="AP108" s="20" t="s">
        <v>197</v>
      </c>
      <c r="AQ108" s="3" t="s">
        <v>35</v>
      </c>
      <c r="AR108" s="11" t="s">
        <v>28</v>
      </c>
      <c r="AS108" s="158"/>
      <c r="AT108" s="20" t="s">
        <v>197</v>
      </c>
      <c r="AU108" s="3" t="s">
        <v>35</v>
      </c>
      <c r="AV108" s="11" t="s">
        <v>28</v>
      </c>
      <c r="AW108" s="158"/>
    </row>
    <row r="109" spans="1:49" s="32" customFormat="1" ht="15.75" hidden="1">
      <c r="A109" s="78"/>
      <c r="B109" s="98" t="s">
        <v>37</v>
      </c>
      <c r="C109" s="98" t="s">
        <v>28</v>
      </c>
      <c r="D109" s="100"/>
      <c r="E109" s="100"/>
      <c r="F109"/>
      <c r="G109" s="20" t="s">
        <v>198</v>
      </c>
      <c r="H109" s="84" t="s">
        <v>37</v>
      </c>
      <c r="I109" s="85" t="s">
        <v>28</v>
      </c>
      <c r="J109" s="333">
        <f>Y109+AC109+AG109+AK109+AO109+AS109+AW109</f>
        <v>0</v>
      </c>
      <c r="K109" s="174"/>
      <c r="L109" s="175"/>
      <c r="M109" s="183"/>
      <c r="N109" s="184"/>
      <c r="O109" s="185"/>
      <c r="P109" s="186"/>
      <c r="Q109" s="183"/>
      <c r="R109" s="187"/>
      <c r="S109" s="223">
        <f t="shared" si="8"/>
        <v>0</v>
      </c>
      <c r="T109" s="661">
        <f t="shared" si="8"/>
        <v>0</v>
      </c>
      <c r="U109" s="661" t="e">
        <f>#REF!-T109</f>
        <v>#REF!</v>
      </c>
      <c r="V109" s="20" t="s">
        <v>198</v>
      </c>
      <c r="W109" s="3" t="s">
        <v>37</v>
      </c>
      <c r="X109" s="11" t="s">
        <v>28</v>
      </c>
      <c r="Y109" s="158"/>
      <c r="Z109" s="20" t="s">
        <v>198</v>
      </c>
      <c r="AA109" s="3" t="s">
        <v>37</v>
      </c>
      <c r="AB109" s="11" t="s">
        <v>28</v>
      </c>
      <c r="AC109" s="158"/>
      <c r="AD109" s="20" t="s">
        <v>198</v>
      </c>
      <c r="AE109" s="3" t="s">
        <v>37</v>
      </c>
      <c r="AF109" s="11" t="s">
        <v>28</v>
      </c>
      <c r="AG109" s="158"/>
      <c r="AH109" s="20" t="s">
        <v>198</v>
      </c>
      <c r="AI109" s="3" t="s">
        <v>37</v>
      </c>
      <c r="AJ109" s="11" t="s">
        <v>28</v>
      </c>
      <c r="AK109" s="158"/>
      <c r="AL109" s="20" t="s">
        <v>198</v>
      </c>
      <c r="AM109" s="3" t="s">
        <v>37</v>
      </c>
      <c r="AN109" s="11" t="s">
        <v>28</v>
      </c>
      <c r="AO109" s="158"/>
      <c r="AP109" s="20" t="s">
        <v>198</v>
      </c>
      <c r="AQ109" s="3" t="s">
        <v>37</v>
      </c>
      <c r="AR109" s="11" t="s">
        <v>28</v>
      </c>
      <c r="AS109" s="158"/>
      <c r="AT109" s="20" t="s">
        <v>198</v>
      </c>
      <c r="AU109" s="3" t="s">
        <v>37</v>
      </c>
      <c r="AV109" s="11" t="s">
        <v>28</v>
      </c>
      <c r="AW109" s="158"/>
    </row>
    <row r="110" spans="1:49" s="32" customFormat="1" ht="15.75">
      <c r="A110" s="78"/>
      <c r="B110" s="98" t="s">
        <v>211</v>
      </c>
      <c r="C110" s="98" t="s">
        <v>212</v>
      </c>
      <c r="D110" s="100"/>
      <c r="E110" s="100"/>
      <c r="F110"/>
      <c r="G110" s="20" t="s">
        <v>198</v>
      </c>
      <c r="H110" s="84" t="s">
        <v>211</v>
      </c>
      <c r="I110" s="85" t="s">
        <v>25</v>
      </c>
      <c r="J110" s="333"/>
      <c r="K110" s="174"/>
      <c r="L110" s="175"/>
      <c r="M110" s="183"/>
      <c r="N110" s="184"/>
      <c r="O110" s="185"/>
      <c r="P110" s="186"/>
      <c r="Q110" s="183"/>
      <c r="R110" s="187"/>
      <c r="S110" s="223">
        <f t="shared" si="8"/>
        <v>0</v>
      </c>
      <c r="T110" s="661">
        <f t="shared" si="8"/>
        <v>0</v>
      </c>
      <c r="U110" s="661" t="e">
        <f>#REF!-T110</f>
        <v>#REF!</v>
      </c>
      <c r="V110" s="20" t="s">
        <v>198</v>
      </c>
      <c r="W110" s="3" t="s">
        <v>348</v>
      </c>
      <c r="X110" s="11" t="s">
        <v>212</v>
      </c>
      <c r="Y110" s="158"/>
      <c r="Z110" s="20" t="s">
        <v>198</v>
      </c>
      <c r="AA110" s="3" t="s">
        <v>348</v>
      </c>
      <c r="AB110" s="11" t="s">
        <v>212</v>
      </c>
      <c r="AC110" s="158"/>
      <c r="AD110" s="20" t="s">
        <v>198</v>
      </c>
      <c r="AE110" s="3" t="s">
        <v>348</v>
      </c>
      <c r="AF110" s="11" t="s">
        <v>212</v>
      </c>
      <c r="AG110" s="158"/>
      <c r="AH110" s="20" t="s">
        <v>198</v>
      </c>
      <c r="AI110" s="3" t="s">
        <v>348</v>
      </c>
      <c r="AJ110" s="11" t="s">
        <v>212</v>
      </c>
      <c r="AK110" s="158"/>
      <c r="AL110" s="20" t="s">
        <v>198</v>
      </c>
      <c r="AM110" s="3" t="s">
        <v>348</v>
      </c>
      <c r="AN110" s="11" t="s">
        <v>212</v>
      </c>
      <c r="AO110" s="158"/>
      <c r="AP110" s="20" t="s">
        <v>198</v>
      </c>
      <c r="AQ110" s="3" t="s">
        <v>348</v>
      </c>
      <c r="AR110" s="11" t="s">
        <v>25</v>
      </c>
      <c r="AS110" s="158"/>
      <c r="AT110" s="20" t="s">
        <v>198</v>
      </c>
      <c r="AU110" s="3" t="s">
        <v>348</v>
      </c>
      <c r="AV110" s="11" t="s">
        <v>212</v>
      </c>
      <c r="AW110" s="158"/>
    </row>
    <row r="111" spans="1:49" s="32" customFormat="1" ht="15.75" hidden="1">
      <c r="A111" s="78"/>
      <c r="B111" s="98" t="s">
        <v>384</v>
      </c>
      <c r="C111" s="98"/>
      <c r="D111" s="100"/>
      <c r="E111" s="100"/>
      <c r="F111"/>
      <c r="G111" s="20"/>
      <c r="H111" s="84"/>
      <c r="I111" s="85"/>
      <c r="J111" s="333"/>
      <c r="K111" s="174"/>
      <c r="L111" s="175"/>
      <c r="M111" s="183"/>
      <c r="N111" s="184"/>
      <c r="O111" s="185"/>
      <c r="P111" s="186"/>
      <c r="Q111" s="183"/>
      <c r="R111" s="187"/>
      <c r="S111" s="223"/>
      <c r="T111" s="661"/>
      <c r="U111" s="661"/>
      <c r="V111" s="20"/>
      <c r="W111" s="3"/>
      <c r="X111" s="11"/>
      <c r="Y111" s="158"/>
      <c r="Z111" s="20"/>
      <c r="AA111" s="3"/>
      <c r="AB111" s="11"/>
      <c r="AC111" s="158"/>
      <c r="AD111" s="20"/>
      <c r="AE111" s="3"/>
      <c r="AF111" s="11"/>
      <c r="AG111" s="158"/>
      <c r="AH111" s="20"/>
      <c r="AI111" s="3"/>
      <c r="AJ111" s="11"/>
      <c r="AK111" s="158"/>
      <c r="AL111" s="20"/>
      <c r="AM111" s="3"/>
      <c r="AN111" s="11"/>
      <c r="AO111" s="158"/>
      <c r="AP111" s="20"/>
      <c r="AQ111" s="3"/>
      <c r="AR111" s="11"/>
      <c r="AS111" s="158"/>
      <c r="AT111" s="20"/>
      <c r="AU111" s="3"/>
      <c r="AV111" s="11"/>
      <c r="AW111" s="158"/>
    </row>
    <row r="112" spans="1:49" s="32" customFormat="1" ht="15.75">
      <c r="A112" s="78"/>
      <c r="B112" s="98" t="s">
        <v>30</v>
      </c>
      <c r="C112" s="98" t="s">
        <v>25</v>
      </c>
      <c r="D112" s="100">
        <v>0</v>
      </c>
      <c r="E112" s="100">
        <v>0</v>
      </c>
      <c r="F112"/>
      <c r="G112" s="20" t="s">
        <v>359</v>
      </c>
      <c r="H112" s="84" t="s">
        <v>30</v>
      </c>
      <c r="I112" s="85" t="s">
        <v>25</v>
      </c>
      <c r="J112" s="333"/>
      <c r="K112" s="174"/>
      <c r="L112" s="175" t="e">
        <f>#REF!/2</f>
        <v>#REF!</v>
      </c>
      <c r="M112" s="183"/>
      <c r="N112" s="184"/>
      <c r="O112" s="185"/>
      <c r="P112" s="186"/>
      <c r="Q112" s="183"/>
      <c r="R112" s="187" t="e">
        <f>#REF!/2</f>
        <v>#REF!</v>
      </c>
      <c r="S112" s="223">
        <f t="shared" si="8"/>
        <v>0</v>
      </c>
      <c r="T112" s="661" t="e">
        <f t="shared" si="8"/>
        <v>#REF!</v>
      </c>
      <c r="U112" s="661" t="e">
        <f>#REF!-T112</f>
        <v>#REF!</v>
      </c>
      <c r="V112" s="20" t="s">
        <v>359</v>
      </c>
      <c r="W112" s="3" t="s">
        <v>30</v>
      </c>
      <c r="X112" s="11" t="s">
        <v>25</v>
      </c>
      <c r="Y112" s="158"/>
      <c r="Z112" s="20" t="s">
        <v>359</v>
      </c>
      <c r="AA112" s="3" t="s">
        <v>30</v>
      </c>
      <c r="AB112" s="11" t="s">
        <v>25</v>
      </c>
      <c r="AC112" s="158"/>
      <c r="AD112" s="20" t="s">
        <v>359</v>
      </c>
      <c r="AE112" s="3" t="s">
        <v>30</v>
      </c>
      <c r="AF112" s="11" t="s">
        <v>25</v>
      </c>
      <c r="AG112" s="158"/>
      <c r="AH112" s="20" t="s">
        <v>359</v>
      </c>
      <c r="AI112" s="3" t="s">
        <v>30</v>
      </c>
      <c r="AJ112" s="11" t="s">
        <v>25</v>
      </c>
      <c r="AK112" s="158"/>
      <c r="AL112" s="20" t="s">
        <v>359</v>
      </c>
      <c r="AM112" s="3" t="s">
        <v>30</v>
      </c>
      <c r="AN112" s="11" t="s">
        <v>25</v>
      </c>
      <c r="AO112" s="158"/>
      <c r="AP112" s="20" t="s">
        <v>359</v>
      </c>
      <c r="AQ112" s="3" t="s">
        <v>30</v>
      </c>
      <c r="AR112" s="11" t="s">
        <v>25</v>
      </c>
      <c r="AS112" s="158"/>
      <c r="AT112" s="20" t="s">
        <v>359</v>
      </c>
      <c r="AU112" s="3" t="s">
        <v>30</v>
      </c>
      <c r="AV112" s="11" t="s">
        <v>25</v>
      </c>
      <c r="AW112" s="158"/>
    </row>
    <row r="113" spans="1:49" s="32" customFormat="1" ht="15.75">
      <c r="A113" s="78"/>
      <c r="B113" s="98"/>
      <c r="C113" s="98"/>
      <c r="D113" s="100"/>
      <c r="E113" s="100"/>
      <c r="F113"/>
      <c r="G113" s="39"/>
      <c r="H113" s="103" t="s">
        <v>216</v>
      </c>
      <c r="I113" s="104"/>
      <c r="J113" s="104"/>
      <c r="K113" s="70"/>
      <c r="L113" s="49" t="e">
        <f>SUM(L104:L112)</f>
        <v>#REF!</v>
      </c>
      <c r="M113" s="72"/>
      <c r="N113" s="49" t="e">
        <f>SUM(N104:N112)</f>
        <v>#REF!</v>
      </c>
      <c r="O113" s="70"/>
      <c r="P113" s="49" t="e">
        <f>SUM(P104:P112)</f>
        <v>#REF!</v>
      </c>
      <c r="Q113" s="72"/>
      <c r="R113" s="49" t="e">
        <f>SUM(R104:R112)</f>
        <v>#REF!</v>
      </c>
      <c r="S113" s="161"/>
      <c r="T113" s="161" t="e">
        <f>T104+T107+T112</f>
        <v>#REF!</v>
      </c>
      <c r="U113" s="161" t="e">
        <f>U104+U107+U112</f>
        <v>#REF!</v>
      </c>
      <c r="V113" s="39"/>
      <c r="W113" s="41" t="s">
        <v>216</v>
      </c>
      <c r="X113" s="43"/>
      <c r="Y113" s="160"/>
      <c r="Z113" s="39"/>
      <c r="AA113" s="41" t="s">
        <v>216</v>
      </c>
      <c r="AB113" s="43"/>
      <c r="AC113" s="160"/>
      <c r="AD113" s="39"/>
      <c r="AE113" s="41" t="s">
        <v>216</v>
      </c>
      <c r="AF113" s="43"/>
      <c r="AG113" s="160"/>
      <c r="AH113" s="39"/>
      <c r="AI113" s="41" t="s">
        <v>216</v>
      </c>
      <c r="AJ113" s="43"/>
      <c r="AK113" s="160"/>
      <c r="AL113" s="39"/>
      <c r="AM113" s="41" t="s">
        <v>216</v>
      </c>
      <c r="AN113" s="43"/>
      <c r="AO113" s="160"/>
      <c r="AP113" s="39"/>
      <c r="AQ113" s="41" t="s">
        <v>216</v>
      </c>
      <c r="AR113" s="43"/>
      <c r="AS113" s="160"/>
      <c r="AT113" s="39"/>
      <c r="AU113" s="41" t="s">
        <v>216</v>
      </c>
      <c r="AV113" s="43"/>
      <c r="AW113" s="160"/>
    </row>
    <row r="114" spans="2:49" s="235" customFormat="1" ht="18.75">
      <c r="B114" s="407"/>
      <c r="C114" s="407"/>
      <c r="D114" s="525"/>
      <c r="E114" s="525"/>
      <c r="G114" s="397" t="s">
        <v>410</v>
      </c>
      <c r="H114" s="372" t="s">
        <v>32</v>
      </c>
      <c r="I114" s="398"/>
      <c r="J114" s="228"/>
      <c r="K114" s="408"/>
      <c r="L114" s="409"/>
      <c r="M114" s="410"/>
      <c r="N114" s="411"/>
      <c r="O114" s="412"/>
      <c r="P114" s="413"/>
      <c r="Q114" s="410"/>
      <c r="R114" s="414"/>
      <c r="S114" s="435"/>
      <c r="T114" s="439"/>
      <c r="U114" s="439"/>
      <c r="V114" s="397" t="s">
        <v>410</v>
      </c>
      <c r="W114" s="372" t="s">
        <v>32</v>
      </c>
      <c r="X114" s="398"/>
      <c r="Y114" s="402"/>
      <c r="Z114" s="397" t="s">
        <v>410</v>
      </c>
      <c r="AA114" s="372" t="s">
        <v>32</v>
      </c>
      <c r="AB114" s="398"/>
      <c r="AC114" s="402"/>
      <c r="AD114" s="397" t="s">
        <v>410</v>
      </c>
      <c r="AE114" s="372" t="s">
        <v>32</v>
      </c>
      <c r="AF114" s="398"/>
      <c r="AG114" s="402"/>
      <c r="AH114" s="397" t="s">
        <v>410</v>
      </c>
      <c r="AI114" s="372" t="s">
        <v>32</v>
      </c>
      <c r="AJ114" s="398"/>
      <c r="AK114" s="402"/>
      <c r="AL114" s="397" t="s">
        <v>410</v>
      </c>
      <c r="AM114" s="372" t="s">
        <v>32</v>
      </c>
      <c r="AN114" s="398"/>
      <c r="AO114" s="402"/>
      <c r="AP114" s="397" t="s">
        <v>410</v>
      </c>
      <c r="AQ114" s="372" t="s">
        <v>32</v>
      </c>
      <c r="AR114" s="398"/>
      <c r="AS114" s="402"/>
      <c r="AT114" s="397" t="s">
        <v>410</v>
      </c>
      <c r="AU114" s="372" t="s">
        <v>32</v>
      </c>
      <c r="AV114" s="398"/>
      <c r="AW114" s="402"/>
    </row>
    <row r="115" spans="2:49" s="266" customFormat="1" ht="18.75">
      <c r="B115" s="557" t="s">
        <v>155</v>
      </c>
      <c r="C115" s="557" t="s">
        <v>28</v>
      </c>
      <c r="D115" s="558"/>
      <c r="E115" s="558"/>
      <c r="G115" s="448" t="s">
        <v>221</v>
      </c>
      <c r="H115" s="93" t="s">
        <v>155</v>
      </c>
      <c r="I115" s="562" t="s">
        <v>28</v>
      </c>
      <c r="J115" s="571">
        <f>J116+J117</f>
        <v>1.3323899999999997</v>
      </c>
      <c r="K115" s="607">
        <v>0.2</v>
      </c>
      <c r="L115" s="613" t="e">
        <f>K115/$J115*#REF!-75-90.7-48-15.1+36.1</f>
        <v>#REF!</v>
      </c>
      <c r="M115" s="614">
        <v>0.2</v>
      </c>
      <c r="N115" s="615" t="e">
        <f>M115/$J115*#REF!-75-100.4-55.1+36.1</f>
        <v>#REF!</v>
      </c>
      <c r="O115" s="616">
        <v>0.41</v>
      </c>
      <c r="P115" s="617" t="e">
        <f>O115/$J115*#REF!+75-2.5+100.4+38.2-36</f>
        <v>#REF!</v>
      </c>
      <c r="Q115" s="614">
        <v>0.405</v>
      </c>
      <c r="R115" s="618" t="e">
        <f>Q115/$J115*#REF!+75-2.5+5+90.7+48+15+16.9-36.1</f>
        <v>#REF!</v>
      </c>
      <c r="S115" s="611">
        <f>K115+M115+O115+Q115</f>
        <v>1.215</v>
      </c>
      <c r="T115" s="619" t="e">
        <f>L115+N115+P115+R115</f>
        <v>#REF!</v>
      </c>
      <c r="U115" s="619" t="e">
        <f>#REF!-T115</f>
        <v>#REF!</v>
      </c>
      <c r="V115" s="448" t="s">
        <v>221</v>
      </c>
      <c r="W115" s="93" t="s">
        <v>155</v>
      </c>
      <c r="X115" s="562" t="s">
        <v>28</v>
      </c>
      <c r="Y115" s="567">
        <f>Y116+Y117</f>
        <v>0.3216</v>
      </c>
      <c r="Z115" s="448" t="s">
        <v>221</v>
      </c>
      <c r="AA115" s="93" t="s">
        <v>155</v>
      </c>
      <c r="AB115" s="562" t="s">
        <v>28</v>
      </c>
      <c r="AC115" s="567">
        <f>AC116+AC117</f>
        <v>0.015</v>
      </c>
      <c r="AD115" s="448" t="s">
        <v>221</v>
      </c>
      <c r="AE115" s="93" t="s">
        <v>155</v>
      </c>
      <c r="AF115" s="562" t="s">
        <v>28</v>
      </c>
      <c r="AG115" s="567">
        <f>AG116+AG117</f>
        <v>0.2</v>
      </c>
      <c r="AH115" s="448" t="s">
        <v>221</v>
      </c>
      <c r="AI115" s="93" t="s">
        <v>155</v>
      </c>
      <c r="AJ115" s="562" t="s">
        <v>28</v>
      </c>
      <c r="AK115" s="567">
        <f>AK116+AK117</f>
        <v>0.2989</v>
      </c>
      <c r="AL115" s="448" t="s">
        <v>221</v>
      </c>
      <c r="AM115" s="93" t="s">
        <v>155</v>
      </c>
      <c r="AN115" s="562" t="s">
        <v>28</v>
      </c>
      <c r="AO115" s="567">
        <f>AO116+AO117</f>
        <v>0.236</v>
      </c>
      <c r="AP115" s="448" t="s">
        <v>221</v>
      </c>
      <c r="AQ115" s="93" t="s">
        <v>155</v>
      </c>
      <c r="AR115" s="562" t="s">
        <v>28</v>
      </c>
      <c r="AS115" s="567">
        <f>AS116+AS117</f>
        <v>0.20900000000000002</v>
      </c>
      <c r="AT115" s="448" t="s">
        <v>221</v>
      </c>
      <c r="AU115" s="93" t="s">
        <v>155</v>
      </c>
      <c r="AV115" s="562" t="s">
        <v>28</v>
      </c>
      <c r="AW115" s="567">
        <f>AW116+AW117</f>
        <v>0.051890000000000006</v>
      </c>
    </row>
    <row r="116" spans="1:49" s="32" customFormat="1" ht="15.75">
      <c r="A116" s="78"/>
      <c r="B116" s="98" t="s">
        <v>357</v>
      </c>
      <c r="C116" s="98" t="s">
        <v>28</v>
      </c>
      <c r="D116" s="503">
        <f>(1282+1125)/2</f>
        <v>1203.5</v>
      </c>
      <c r="E116" s="503">
        <f>(1282+1125)/2</f>
        <v>1203.5</v>
      </c>
      <c r="F116"/>
      <c r="G116" s="20" t="s">
        <v>81</v>
      </c>
      <c r="H116" s="84" t="s">
        <v>349</v>
      </c>
      <c r="I116" s="85" t="s">
        <v>28</v>
      </c>
      <c r="J116" s="333">
        <f aca="true" t="shared" si="9" ref="J116:J122">Y116+AC116+AG116+AK116+AO116+AS116+AW116</f>
        <v>1.2204999999999997</v>
      </c>
      <c r="K116" s="190"/>
      <c r="L116" s="175"/>
      <c r="M116" s="188"/>
      <c r="N116" s="184"/>
      <c r="O116" s="191"/>
      <c r="P116" s="186"/>
      <c r="Q116" s="188"/>
      <c r="R116" s="187"/>
      <c r="S116" s="223"/>
      <c r="T116" s="661"/>
      <c r="U116" s="661"/>
      <c r="V116" s="20" t="s">
        <v>81</v>
      </c>
      <c r="W116" s="3" t="s">
        <v>349</v>
      </c>
      <c r="X116" s="11" t="s">
        <v>28</v>
      </c>
      <c r="Y116" s="206">
        <f>0.25+0.0716</f>
        <v>0.3216</v>
      </c>
      <c r="Z116" s="20" t="s">
        <v>81</v>
      </c>
      <c r="AA116" s="3" t="s">
        <v>349</v>
      </c>
      <c r="AB116" s="11" t="s">
        <v>28</v>
      </c>
      <c r="AC116" s="158">
        <v>0.015</v>
      </c>
      <c r="AD116" s="20" t="s">
        <v>81</v>
      </c>
      <c r="AE116" s="3" t="s">
        <v>349</v>
      </c>
      <c r="AF116" s="11" t="s">
        <v>28</v>
      </c>
      <c r="AG116" s="206">
        <f>0.2</f>
        <v>0.2</v>
      </c>
      <c r="AH116" s="20" t="s">
        <v>81</v>
      </c>
      <c r="AI116" s="3" t="s">
        <v>349</v>
      </c>
      <c r="AJ116" s="11" t="s">
        <v>28</v>
      </c>
      <c r="AK116" s="206">
        <f>0.25+0.0489</f>
        <v>0.2989</v>
      </c>
      <c r="AL116" s="20" t="s">
        <v>81</v>
      </c>
      <c r="AM116" s="3" t="s">
        <v>349</v>
      </c>
      <c r="AN116" s="11" t="s">
        <v>28</v>
      </c>
      <c r="AO116" s="206">
        <f>0.15+0.086</f>
        <v>0.236</v>
      </c>
      <c r="AP116" s="20" t="s">
        <v>81</v>
      </c>
      <c r="AQ116" s="3" t="s">
        <v>349</v>
      </c>
      <c r="AR116" s="11" t="s">
        <v>28</v>
      </c>
      <c r="AS116" s="206">
        <f>0.2-0.066</f>
        <v>0.134</v>
      </c>
      <c r="AT116" s="20" t="s">
        <v>81</v>
      </c>
      <c r="AU116" s="3" t="s">
        <v>349</v>
      </c>
      <c r="AV116" s="11" t="s">
        <v>28</v>
      </c>
      <c r="AW116" s="206">
        <f>0.035-0.02</f>
        <v>0.015000000000000003</v>
      </c>
    </row>
    <row r="117" spans="1:49" s="32" customFormat="1" ht="15.75">
      <c r="A117" s="78"/>
      <c r="B117" s="98" t="s">
        <v>358</v>
      </c>
      <c r="C117" s="98" t="s">
        <v>28</v>
      </c>
      <c r="D117" s="503">
        <f>(1462+2430)/2</f>
        <v>1946</v>
      </c>
      <c r="E117" s="503">
        <f>(1462+2430)/2</f>
        <v>1946</v>
      </c>
      <c r="F117"/>
      <c r="G117" s="20" t="s">
        <v>82</v>
      </c>
      <c r="H117" s="84" t="s">
        <v>350</v>
      </c>
      <c r="I117" s="85" t="s">
        <v>28</v>
      </c>
      <c r="J117" s="333">
        <f t="shared" si="9"/>
        <v>0.11188999999999999</v>
      </c>
      <c r="K117" s="190"/>
      <c r="L117" s="175"/>
      <c r="M117" s="188"/>
      <c r="N117" s="184"/>
      <c r="O117" s="191"/>
      <c r="P117" s="186"/>
      <c r="Q117" s="188"/>
      <c r="R117" s="187"/>
      <c r="S117" s="223"/>
      <c r="T117" s="661"/>
      <c r="U117" s="661"/>
      <c r="V117" s="20" t="s">
        <v>82</v>
      </c>
      <c r="W117" s="3" t="s">
        <v>350</v>
      </c>
      <c r="X117" s="11" t="s">
        <v>28</v>
      </c>
      <c r="Y117" s="158"/>
      <c r="Z117" s="20" t="s">
        <v>82</v>
      </c>
      <c r="AA117" s="3" t="s">
        <v>350</v>
      </c>
      <c r="AB117" s="11" t="s">
        <v>28</v>
      </c>
      <c r="AC117" s="158"/>
      <c r="AD117" s="20" t="s">
        <v>82</v>
      </c>
      <c r="AE117" s="3" t="s">
        <v>350</v>
      </c>
      <c r="AF117" s="11" t="s">
        <v>28</v>
      </c>
      <c r="AG117" s="206"/>
      <c r="AH117" s="20" t="s">
        <v>82</v>
      </c>
      <c r="AI117" s="3" t="s">
        <v>350</v>
      </c>
      <c r="AJ117" s="11" t="s">
        <v>28</v>
      </c>
      <c r="AK117" s="206"/>
      <c r="AL117" s="20" t="s">
        <v>82</v>
      </c>
      <c r="AM117" s="3" t="s">
        <v>350</v>
      </c>
      <c r="AN117" s="11" t="s">
        <v>28</v>
      </c>
      <c r="AO117" s="206"/>
      <c r="AP117" s="20" t="s">
        <v>82</v>
      </c>
      <c r="AQ117" s="3" t="s">
        <v>350</v>
      </c>
      <c r="AR117" s="11" t="s">
        <v>28</v>
      </c>
      <c r="AS117" s="206">
        <v>0.075</v>
      </c>
      <c r="AT117" s="20" t="s">
        <v>82</v>
      </c>
      <c r="AU117" s="3" t="s">
        <v>350</v>
      </c>
      <c r="AV117" s="11" t="s">
        <v>28</v>
      </c>
      <c r="AW117" s="206">
        <v>0.03689</v>
      </c>
    </row>
    <row r="118" spans="1:49" s="32" customFormat="1" ht="15.75" hidden="1">
      <c r="A118" s="78"/>
      <c r="B118" s="98" t="s">
        <v>72</v>
      </c>
      <c r="C118" s="98" t="s">
        <v>20</v>
      </c>
      <c r="D118" s="100">
        <v>0</v>
      </c>
      <c r="E118" s="100">
        <v>0</v>
      </c>
      <c r="F118"/>
      <c r="G118" s="20" t="s">
        <v>83</v>
      </c>
      <c r="H118" s="84" t="s">
        <v>72</v>
      </c>
      <c r="I118" s="85" t="s">
        <v>20</v>
      </c>
      <c r="J118" s="333">
        <f t="shared" si="9"/>
        <v>0</v>
      </c>
      <c r="K118" s="174"/>
      <c r="L118" s="175"/>
      <c r="M118" s="183"/>
      <c r="N118" s="184"/>
      <c r="O118" s="185"/>
      <c r="P118" s="186"/>
      <c r="Q118" s="183"/>
      <c r="R118" s="187"/>
      <c r="S118" s="223">
        <f>K118+M118+O118+Q118</f>
        <v>0</v>
      </c>
      <c r="T118" s="661">
        <f>L118+N118+P118+R118</f>
        <v>0</v>
      </c>
      <c r="U118" s="661" t="e">
        <f>#REF!-T118</f>
        <v>#REF!</v>
      </c>
      <c r="V118" s="20" t="s">
        <v>83</v>
      </c>
      <c r="W118" s="3" t="s">
        <v>72</v>
      </c>
      <c r="X118" s="11" t="s">
        <v>20</v>
      </c>
      <c r="Y118" s="158"/>
      <c r="Z118" s="20" t="s">
        <v>83</v>
      </c>
      <c r="AA118" s="3" t="s">
        <v>72</v>
      </c>
      <c r="AB118" s="11" t="s">
        <v>20</v>
      </c>
      <c r="AC118" s="158"/>
      <c r="AD118" s="20" t="s">
        <v>83</v>
      </c>
      <c r="AE118" s="3" t="s">
        <v>72</v>
      </c>
      <c r="AF118" s="11" t="s">
        <v>20</v>
      </c>
      <c r="AG118" s="158"/>
      <c r="AH118" s="20" t="s">
        <v>83</v>
      </c>
      <c r="AI118" s="3" t="s">
        <v>72</v>
      </c>
      <c r="AJ118" s="11" t="s">
        <v>20</v>
      </c>
      <c r="AK118" s="158"/>
      <c r="AL118" s="20" t="s">
        <v>83</v>
      </c>
      <c r="AM118" s="3" t="s">
        <v>72</v>
      </c>
      <c r="AN118" s="11" t="s">
        <v>20</v>
      </c>
      <c r="AO118" s="158"/>
      <c r="AP118" s="20" t="s">
        <v>83</v>
      </c>
      <c r="AQ118" s="3" t="s">
        <v>72</v>
      </c>
      <c r="AR118" s="11" t="s">
        <v>20</v>
      </c>
      <c r="AS118" s="158"/>
      <c r="AT118" s="20" t="s">
        <v>83</v>
      </c>
      <c r="AU118" s="3" t="s">
        <v>72</v>
      </c>
      <c r="AV118" s="11" t="s">
        <v>20</v>
      </c>
      <c r="AW118" s="158"/>
    </row>
    <row r="119" spans="1:49" s="32" customFormat="1" ht="15.75" hidden="1">
      <c r="A119" s="516"/>
      <c r="B119" s="336" t="s">
        <v>255</v>
      </c>
      <c r="C119" s="513" t="s">
        <v>10</v>
      </c>
      <c r="D119" s="512">
        <v>13.523906000000002</v>
      </c>
      <c r="E119" s="512">
        <v>13.523906000000002</v>
      </c>
      <c r="F119"/>
      <c r="G119" s="20" t="s">
        <v>84</v>
      </c>
      <c r="H119" s="110" t="s">
        <v>249</v>
      </c>
      <c r="I119" s="85" t="s">
        <v>10</v>
      </c>
      <c r="J119" s="334">
        <f t="shared" si="9"/>
        <v>0</v>
      </c>
      <c r="K119" s="174"/>
      <c r="L119" s="175" t="e">
        <f>K119/$J119*#REF!</f>
        <v>#DIV/0!</v>
      </c>
      <c r="M119" s="183"/>
      <c r="N119" s="184" t="e">
        <f>M119/$J119*#REF!</f>
        <v>#DIV/0!</v>
      </c>
      <c r="O119" s="185">
        <v>3</v>
      </c>
      <c r="P119" s="186" t="e">
        <f>O119/$J119*#REF!</f>
        <v>#DIV/0!</v>
      </c>
      <c r="Q119" s="183"/>
      <c r="R119" s="187" t="e">
        <f>Q119/$J119*#REF!</f>
        <v>#DIV/0!</v>
      </c>
      <c r="S119" s="223">
        <f aca="true" t="shared" si="10" ref="S119:T125">K119+M119+O119+Q119</f>
        <v>3</v>
      </c>
      <c r="T119" s="661" t="e">
        <f t="shared" si="10"/>
        <v>#DIV/0!</v>
      </c>
      <c r="U119" s="661" t="e">
        <f>#REF!-T119</f>
        <v>#REF!</v>
      </c>
      <c r="V119" s="20" t="s">
        <v>84</v>
      </c>
      <c r="W119" s="3" t="s">
        <v>249</v>
      </c>
      <c r="X119" s="11" t="s">
        <v>10</v>
      </c>
      <c r="Y119" s="158"/>
      <c r="Z119" s="20" t="s">
        <v>84</v>
      </c>
      <c r="AA119" s="3" t="s">
        <v>249</v>
      </c>
      <c r="AB119" s="11" t="s">
        <v>10</v>
      </c>
      <c r="AC119" s="158"/>
      <c r="AD119" s="20" t="s">
        <v>84</v>
      </c>
      <c r="AE119" s="3" t="s">
        <v>249</v>
      </c>
      <c r="AF119" s="11" t="s">
        <v>10</v>
      </c>
      <c r="AG119" s="158"/>
      <c r="AH119" s="20" t="s">
        <v>84</v>
      </c>
      <c r="AI119" s="3" t="s">
        <v>249</v>
      </c>
      <c r="AJ119" s="11" t="s">
        <v>10</v>
      </c>
      <c r="AK119" s="158"/>
      <c r="AL119" s="20" t="s">
        <v>84</v>
      </c>
      <c r="AM119" s="3" t="s">
        <v>249</v>
      </c>
      <c r="AN119" s="11" t="s">
        <v>10</v>
      </c>
      <c r="AO119" s="158"/>
      <c r="AP119" s="20" t="s">
        <v>84</v>
      </c>
      <c r="AQ119" s="3" t="s">
        <v>249</v>
      </c>
      <c r="AR119" s="11" t="s">
        <v>10</v>
      </c>
      <c r="AS119" s="158"/>
      <c r="AT119" s="20" t="s">
        <v>84</v>
      </c>
      <c r="AU119" s="3" t="s">
        <v>249</v>
      </c>
      <c r="AV119" s="11" t="s">
        <v>10</v>
      </c>
      <c r="AW119" s="158"/>
    </row>
    <row r="120" spans="1:49" s="32" customFormat="1" ht="15.75">
      <c r="A120" s="78"/>
      <c r="B120" s="98" t="s">
        <v>33</v>
      </c>
      <c r="C120" s="98" t="s">
        <v>23</v>
      </c>
      <c r="D120" s="510">
        <v>1.453</v>
      </c>
      <c r="E120" s="510">
        <v>2.268</v>
      </c>
      <c r="F120"/>
      <c r="G120" s="20" t="s">
        <v>85</v>
      </c>
      <c r="H120" s="84" t="s">
        <v>33</v>
      </c>
      <c r="I120" s="85" t="s">
        <v>11</v>
      </c>
      <c r="J120" s="334">
        <f t="shared" si="9"/>
        <v>7</v>
      </c>
      <c r="K120" s="174">
        <v>3</v>
      </c>
      <c r="L120" s="175" t="e">
        <f>K120/$J120*#REF!+40</f>
        <v>#REF!</v>
      </c>
      <c r="M120" s="183">
        <v>4</v>
      </c>
      <c r="N120" s="184" t="e">
        <f>M120/$J120*#REF!-40</f>
        <v>#REF!</v>
      </c>
      <c r="O120" s="185"/>
      <c r="P120" s="186"/>
      <c r="Q120" s="183"/>
      <c r="R120" s="187"/>
      <c r="S120" s="223">
        <f t="shared" si="10"/>
        <v>7</v>
      </c>
      <c r="T120" s="661" t="e">
        <f t="shared" si="10"/>
        <v>#REF!</v>
      </c>
      <c r="U120" s="661" t="e">
        <f>#REF!-T120</f>
        <v>#REF!</v>
      </c>
      <c r="V120" s="20" t="s">
        <v>85</v>
      </c>
      <c r="W120" s="3" t="s">
        <v>33</v>
      </c>
      <c r="X120" s="11" t="s">
        <v>11</v>
      </c>
      <c r="Y120" s="158">
        <v>1</v>
      </c>
      <c r="Z120" s="20" t="s">
        <v>85</v>
      </c>
      <c r="AA120" s="3" t="s">
        <v>33</v>
      </c>
      <c r="AB120" s="11" t="s">
        <v>11</v>
      </c>
      <c r="AC120" s="158">
        <v>1</v>
      </c>
      <c r="AD120" s="20" t="s">
        <v>85</v>
      </c>
      <c r="AE120" s="3" t="s">
        <v>33</v>
      </c>
      <c r="AF120" s="11" t="s">
        <v>11</v>
      </c>
      <c r="AG120" s="158">
        <v>1</v>
      </c>
      <c r="AH120" s="20" t="s">
        <v>85</v>
      </c>
      <c r="AI120" s="3" t="s">
        <v>33</v>
      </c>
      <c r="AJ120" s="11" t="s">
        <v>11</v>
      </c>
      <c r="AK120" s="158">
        <v>1</v>
      </c>
      <c r="AL120" s="20" t="s">
        <v>85</v>
      </c>
      <c r="AM120" s="3" t="s">
        <v>33</v>
      </c>
      <c r="AN120" s="11" t="s">
        <v>11</v>
      </c>
      <c r="AO120" s="158">
        <v>1</v>
      </c>
      <c r="AP120" s="20" t="s">
        <v>85</v>
      </c>
      <c r="AQ120" s="3" t="s">
        <v>33</v>
      </c>
      <c r="AR120" s="11" t="s">
        <v>11</v>
      </c>
      <c r="AS120" s="158">
        <v>1</v>
      </c>
      <c r="AT120" s="20" t="s">
        <v>85</v>
      </c>
      <c r="AU120" s="3" t="s">
        <v>33</v>
      </c>
      <c r="AV120" s="11" t="s">
        <v>11</v>
      </c>
      <c r="AW120" s="158">
        <v>1</v>
      </c>
    </row>
    <row r="121" spans="1:49" s="32" customFormat="1" ht="15.75">
      <c r="A121" s="78"/>
      <c r="B121" s="98" t="s">
        <v>34</v>
      </c>
      <c r="C121" s="98" t="s">
        <v>23</v>
      </c>
      <c r="D121" s="510">
        <v>1.759</v>
      </c>
      <c r="E121" s="510">
        <v>1.84</v>
      </c>
      <c r="F121"/>
      <c r="G121" s="20" t="s">
        <v>86</v>
      </c>
      <c r="H121" s="84" t="s">
        <v>34</v>
      </c>
      <c r="I121" s="85" t="s">
        <v>11</v>
      </c>
      <c r="J121" s="334">
        <f t="shared" si="9"/>
        <v>7</v>
      </c>
      <c r="K121" s="174">
        <v>3</v>
      </c>
      <c r="L121" s="175" t="e">
        <f>K121/$J121*#REF!+40</f>
        <v>#REF!</v>
      </c>
      <c r="M121" s="183">
        <v>4</v>
      </c>
      <c r="N121" s="184" t="e">
        <f>M121/$J121*#REF!-40</f>
        <v>#REF!</v>
      </c>
      <c r="O121" s="185"/>
      <c r="P121" s="186"/>
      <c r="Q121" s="183"/>
      <c r="R121" s="187"/>
      <c r="S121" s="223">
        <f t="shared" si="10"/>
        <v>7</v>
      </c>
      <c r="T121" s="661" t="e">
        <f t="shared" si="10"/>
        <v>#REF!</v>
      </c>
      <c r="U121" s="661" t="e">
        <f>#REF!-T121</f>
        <v>#REF!</v>
      </c>
      <c r="V121" s="20" t="s">
        <v>86</v>
      </c>
      <c r="W121" s="3" t="s">
        <v>34</v>
      </c>
      <c r="X121" s="11" t="s">
        <v>11</v>
      </c>
      <c r="Y121" s="158">
        <v>1</v>
      </c>
      <c r="Z121" s="20" t="s">
        <v>86</v>
      </c>
      <c r="AA121" s="3" t="s">
        <v>34</v>
      </c>
      <c r="AB121" s="11" t="s">
        <v>11</v>
      </c>
      <c r="AC121" s="158">
        <v>1</v>
      </c>
      <c r="AD121" s="20" t="s">
        <v>86</v>
      </c>
      <c r="AE121" s="3" t="s">
        <v>34</v>
      </c>
      <c r="AF121" s="11" t="s">
        <v>11</v>
      </c>
      <c r="AG121" s="158">
        <v>1</v>
      </c>
      <c r="AH121" s="20" t="s">
        <v>86</v>
      </c>
      <c r="AI121" s="3" t="s">
        <v>34</v>
      </c>
      <c r="AJ121" s="11" t="s">
        <v>11</v>
      </c>
      <c r="AK121" s="158">
        <v>1</v>
      </c>
      <c r="AL121" s="20" t="s">
        <v>86</v>
      </c>
      <c r="AM121" s="3" t="s">
        <v>34</v>
      </c>
      <c r="AN121" s="11" t="s">
        <v>11</v>
      </c>
      <c r="AO121" s="158">
        <v>1</v>
      </c>
      <c r="AP121" s="20" t="s">
        <v>86</v>
      </c>
      <c r="AQ121" s="3" t="s">
        <v>34</v>
      </c>
      <c r="AR121" s="11" t="s">
        <v>11</v>
      </c>
      <c r="AS121" s="158">
        <v>1</v>
      </c>
      <c r="AT121" s="20" t="s">
        <v>86</v>
      </c>
      <c r="AU121" s="3" t="s">
        <v>34</v>
      </c>
      <c r="AV121" s="11" t="s">
        <v>11</v>
      </c>
      <c r="AW121" s="158">
        <v>1</v>
      </c>
    </row>
    <row r="122" spans="1:49" s="32" customFormat="1" ht="15.75">
      <c r="A122" s="516"/>
      <c r="B122" s="513" t="s">
        <v>58</v>
      </c>
      <c r="C122" s="513" t="s">
        <v>20</v>
      </c>
      <c r="D122" s="510">
        <v>38.347</v>
      </c>
      <c r="E122" s="510">
        <v>38.347</v>
      </c>
      <c r="F122"/>
      <c r="G122" s="20" t="s">
        <v>87</v>
      </c>
      <c r="H122" s="84" t="s">
        <v>58</v>
      </c>
      <c r="I122" s="85" t="s">
        <v>20</v>
      </c>
      <c r="J122" s="334">
        <f t="shared" si="9"/>
        <v>18</v>
      </c>
      <c r="K122" s="174">
        <v>2</v>
      </c>
      <c r="L122" s="175" t="e">
        <f>K122/$J122*#REF!+15</f>
        <v>#REF!</v>
      </c>
      <c r="M122" s="183">
        <v>3</v>
      </c>
      <c r="N122" s="184" t="e">
        <f>M122/$J122*#REF!-15</f>
        <v>#REF!</v>
      </c>
      <c r="O122" s="185"/>
      <c r="P122" s="186"/>
      <c r="Q122" s="183"/>
      <c r="R122" s="187"/>
      <c r="S122" s="223">
        <f t="shared" si="10"/>
        <v>5</v>
      </c>
      <c r="T122" s="661" t="e">
        <f t="shared" si="10"/>
        <v>#REF!</v>
      </c>
      <c r="U122" s="661" t="e">
        <f>#REF!-T122</f>
        <v>#REF!</v>
      </c>
      <c r="V122" s="20" t="s">
        <v>87</v>
      </c>
      <c r="W122" s="3" t="s">
        <v>58</v>
      </c>
      <c r="X122" s="11" t="s">
        <v>20</v>
      </c>
      <c r="Y122" s="158">
        <v>4</v>
      </c>
      <c r="Z122" s="20" t="s">
        <v>87</v>
      </c>
      <c r="AA122" s="3" t="s">
        <v>58</v>
      </c>
      <c r="AB122" s="11" t="s">
        <v>20</v>
      </c>
      <c r="AC122" s="158">
        <v>2</v>
      </c>
      <c r="AD122" s="20" t="s">
        <v>87</v>
      </c>
      <c r="AE122" s="3" t="s">
        <v>58</v>
      </c>
      <c r="AF122" s="11" t="s">
        <v>20</v>
      </c>
      <c r="AG122" s="158">
        <v>2</v>
      </c>
      <c r="AH122" s="20" t="s">
        <v>87</v>
      </c>
      <c r="AI122" s="3" t="s">
        <v>58</v>
      </c>
      <c r="AJ122" s="11" t="s">
        <v>20</v>
      </c>
      <c r="AK122" s="158">
        <v>2</v>
      </c>
      <c r="AL122" s="20" t="s">
        <v>87</v>
      </c>
      <c r="AM122" s="3" t="s">
        <v>58</v>
      </c>
      <c r="AN122" s="11" t="s">
        <v>20</v>
      </c>
      <c r="AO122" s="158">
        <v>1</v>
      </c>
      <c r="AP122" s="20" t="s">
        <v>87</v>
      </c>
      <c r="AQ122" s="3" t="s">
        <v>58</v>
      </c>
      <c r="AR122" s="11" t="s">
        <v>20</v>
      </c>
      <c r="AS122" s="158">
        <v>5</v>
      </c>
      <c r="AT122" s="20" t="s">
        <v>87</v>
      </c>
      <c r="AU122" s="3" t="s">
        <v>58</v>
      </c>
      <c r="AV122" s="11" t="s">
        <v>20</v>
      </c>
      <c r="AW122" s="158">
        <v>2</v>
      </c>
    </row>
    <row r="123" spans="1:49" s="663" customFormat="1" ht="15.75" hidden="1">
      <c r="A123" s="140"/>
      <c r="B123" s="98" t="s">
        <v>384</v>
      </c>
      <c r="C123" s="113"/>
      <c r="D123" s="138"/>
      <c r="E123" s="138"/>
      <c r="F123" s="69"/>
      <c r="G123" s="574"/>
      <c r="H123" s="110"/>
      <c r="I123" s="111"/>
      <c r="J123" s="362"/>
      <c r="K123" s="185"/>
      <c r="L123" s="186"/>
      <c r="M123" s="183"/>
      <c r="N123" s="184"/>
      <c r="O123" s="185"/>
      <c r="P123" s="186"/>
      <c r="Q123" s="183"/>
      <c r="R123" s="187"/>
      <c r="S123" s="223"/>
      <c r="T123" s="662"/>
      <c r="U123" s="662"/>
      <c r="V123" s="574"/>
      <c r="W123" s="575"/>
      <c r="X123" s="576"/>
      <c r="Y123" s="249"/>
      <c r="Z123" s="574"/>
      <c r="AA123" s="575"/>
      <c r="AB123" s="576"/>
      <c r="AC123" s="249"/>
      <c r="AD123" s="574"/>
      <c r="AE123" s="575"/>
      <c r="AF123" s="576"/>
      <c r="AG123" s="249"/>
      <c r="AH123" s="574"/>
      <c r="AI123" s="575"/>
      <c r="AJ123" s="576"/>
      <c r="AK123" s="249"/>
      <c r="AL123" s="574"/>
      <c r="AM123" s="575"/>
      <c r="AN123" s="576"/>
      <c r="AO123" s="249"/>
      <c r="AP123" s="574"/>
      <c r="AQ123" s="575"/>
      <c r="AR123" s="576"/>
      <c r="AS123" s="249"/>
      <c r="AT123" s="574"/>
      <c r="AU123" s="575"/>
      <c r="AV123" s="576"/>
      <c r="AW123" s="249"/>
    </row>
    <row r="124" spans="1:49" s="32" customFormat="1" ht="15.75">
      <c r="A124" s="78"/>
      <c r="B124" s="98" t="s">
        <v>30</v>
      </c>
      <c r="C124" s="98" t="s">
        <v>25</v>
      </c>
      <c r="D124" s="99">
        <v>0</v>
      </c>
      <c r="E124" s="99">
        <v>0</v>
      </c>
      <c r="F124"/>
      <c r="G124" s="20" t="s">
        <v>360</v>
      </c>
      <c r="H124" s="84" t="s">
        <v>30</v>
      </c>
      <c r="I124" s="85" t="s">
        <v>25</v>
      </c>
      <c r="J124" s="334"/>
      <c r="K124" s="174"/>
      <c r="L124" s="175"/>
      <c r="M124" s="183"/>
      <c r="N124" s="184"/>
      <c r="O124" s="185"/>
      <c r="P124" s="186" t="e">
        <f>#REF!/2</f>
        <v>#REF!</v>
      </c>
      <c r="Q124" s="183"/>
      <c r="R124" s="187" t="e">
        <f>#REF!/2</f>
        <v>#REF!</v>
      </c>
      <c r="S124" s="223">
        <f t="shared" si="10"/>
        <v>0</v>
      </c>
      <c r="T124" s="661" t="e">
        <f t="shared" si="10"/>
        <v>#REF!</v>
      </c>
      <c r="U124" s="661" t="e">
        <f>#REF!-T124</f>
        <v>#REF!</v>
      </c>
      <c r="V124" s="20" t="s">
        <v>360</v>
      </c>
      <c r="W124" s="3" t="s">
        <v>30</v>
      </c>
      <c r="X124" s="11" t="s">
        <v>25</v>
      </c>
      <c r="Y124" s="158"/>
      <c r="Z124" s="20" t="s">
        <v>360</v>
      </c>
      <c r="AA124" s="3" t="s">
        <v>30</v>
      </c>
      <c r="AB124" s="11" t="s">
        <v>25</v>
      </c>
      <c r="AC124" s="158"/>
      <c r="AD124" s="20" t="s">
        <v>360</v>
      </c>
      <c r="AE124" s="3" t="s">
        <v>30</v>
      </c>
      <c r="AF124" s="11" t="s">
        <v>25</v>
      </c>
      <c r="AG124" s="158"/>
      <c r="AH124" s="20" t="s">
        <v>360</v>
      </c>
      <c r="AI124" s="3" t="s">
        <v>30</v>
      </c>
      <c r="AJ124" s="11" t="s">
        <v>25</v>
      </c>
      <c r="AK124" s="158"/>
      <c r="AL124" s="20" t="s">
        <v>360</v>
      </c>
      <c r="AM124" s="3" t="s">
        <v>30</v>
      </c>
      <c r="AN124" s="11" t="s">
        <v>25</v>
      </c>
      <c r="AO124" s="158"/>
      <c r="AP124" s="20" t="s">
        <v>360</v>
      </c>
      <c r="AQ124" s="3" t="s">
        <v>30</v>
      </c>
      <c r="AR124" s="11" t="s">
        <v>25</v>
      </c>
      <c r="AS124" s="158"/>
      <c r="AT124" s="20" t="s">
        <v>360</v>
      </c>
      <c r="AU124" s="3" t="s">
        <v>30</v>
      </c>
      <c r="AV124" s="11" t="s">
        <v>25</v>
      </c>
      <c r="AW124" s="158"/>
    </row>
    <row r="125" spans="1:49" s="32" customFormat="1" ht="15.75" hidden="1">
      <c r="A125" s="129"/>
      <c r="B125" s="127" t="s">
        <v>31</v>
      </c>
      <c r="C125" s="127" t="s">
        <v>15</v>
      </c>
      <c r="D125" s="130">
        <v>0</v>
      </c>
      <c r="E125" s="130">
        <v>0</v>
      </c>
      <c r="F125"/>
      <c r="G125" s="20" t="s">
        <v>361</v>
      </c>
      <c r="H125" s="84" t="s">
        <v>31</v>
      </c>
      <c r="I125" s="85" t="s">
        <v>15</v>
      </c>
      <c r="J125" s="334">
        <f>Y125+AC125+AG125+AK125+AO125+AS125+AW125</f>
        <v>0</v>
      </c>
      <c r="K125" s="174"/>
      <c r="L125" s="175"/>
      <c r="M125" s="183"/>
      <c r="N125" s="184"/>
      <c r="O125" s="174"/>
      <c r="P125" s="175"/>
      <c r="Q125" s="183"/>
      <c r="R125" s="187"/>
      <c r="S125" s="223">
        <f t="shared" si="10"/>
        <v>0</v>
      </c>
      <c r="T125" s="661">
        <f t="shared" si="10"/>
        <v>0</v>
      </c>
      <c r="U125" s="661" t="e">
        <f>#REF!-T125</f>
        <v>#REF!</v>
      </c>
      <c r="V125" s="20" t="s">
        <v>361</v>
      </c>
      <c r="W125" s="3" t="s">
        <v>31</v>
      </c>
      <c r="X125" s="11" t="s">
        <v>15</v>
      </c>
      <c r="Y125" s="158"/>
      <c r="Z125" s="20" t="s">
        <v>361</v>
      </c>
      <c r="AA125" s="3" t="s">
        <v>31</v>
      </c>
      <c r="AB125" s="11" t="s">
        <v>15</v>
      </c>
      <c r="AC125" s="158"/>
      <c r="AD125" s="20" t="s">
        <v>361</v>
      </c>
      <c r="AE125" s="3" t="s">
        <v>31</v>
      </c>
      <c r="AF125" s="11" t="s">
        <v>15</v>
      </c>
      <c r="AG125" s="158"/>
      <c r="AH125" s="20" t="s">
        <v>361</v>
      </c>
      <c r="AI125" s="3" t="s">
        <v>31</v>
      </c>
      <c r="AJ125" s="11" t="s">
        <v>15</v>
      </c>
      <c r="AK125" s="158"/>
      <c r="AL125" s="20" t="s">
        <v>361</v>
      </c>
      <c r="AM125" s="3" t="s">
        <v>31</v>
      </c>
      <c r="AN125" s="11" t="s">
        <v>15</v>
      </c>
      <c r="AO125" s="158"/>
      <c r="AP125" s="20" t="s">
        <v>361</v>
      </c>
      <c r="AQ125" s="3" t="s">
        <v>31</v>
      </c>
      <c r="AR125" s="11" t="s">
        <v>15</v>
      </c>
      <c r="AS125" s="158"/>
      <c r="AT125" s="20" t="s">
        <v>361</v>
      </c>
      <c r="AU125" s="3" t="s">
        <v>31</v>
      </c>
      <c r="AV125" s="11" t="s">
        <v>15</v>
      </c>
      <c r="AW125" s="158"/>
    </row>
    <row r="126" spans="1:49" s="32" customFormat="1" ht="15.75">
      <c r="A126" s="78"/>
      <c r="B126" s="98"/>
      <c r="C126" s="98"/>
      <c r="D126" s="99">
        <v>0</v>
      </c>
      <c r="E126" s="99">
        <v>0</v>
      </c>
      <c r="F126"/>
      <c r="G126" s="39"/>
      <c r="H126" s="103" t="s">
        <v>216</v>
      </c>
      <c r="I126" s="104"/>
      <c r="J126" s="104"/>
      <c r="K126" s="70"/>
      <c r="L126" s="49" t="e">
        <f>SUM(L115:L125)</f>
        <v>#REF!</v>
      </c>
      <c r="M126" s="164"/>
      <c r="N126" s="49" t="e">
        <f>SUM(N115:N125)</f>
        <v>#REF!</v>
      </c>
      <c r="O126" s="162"/>
      <c r="P126" s="49" t="e">
        <f>SUM(P115:P125)</f>
        <v>#REF!</v>
      </c>
      <c r="Q126" s="164"/>
      <c r="R126" s="49" t="e">
        <f>SUM(R115:R125)</f>
        <v>#REF!</v>
      </c>
      <c r="S126" s="163"/>
      <c r="T126" s="163" t="e">
        <f>SUM(T115:T125)</f>
        <v>#REF!</v>
      </c>
      <c r="U126" s="163" t="e">
        <f>SUM(U115:U125)</f>
        <v>#REF!</v>
      </c>
      <c r="V126" s="39"/>
      <c r="W126" s="41" t="s">
        <v>216</v>
      </c>
      <c r="X126" s="43"/>
      <c r="Y126" s="160"/>
      <c r="Z126" s="39"/>
      <c r="AA126" s="41" t="s">
        <v>216</v>
      </c>
      <c r="AB126" s="43"/>
      <c r="AC126" s="160"/>
      <c r="AD126" s="39"/>
      <c r="AE126" s="41" t="s">
        <v>216</v>
      </c>
      <c r="AF126" s="43"/>
      <c r="AG126" s="160"/>
      <c r="AH126" s="39"/>
      <c r="AI126" s="41" t="s">
        <v>216</v>
      </c>
      <c r="AJ126" s="43"/>
      <c r="AK126" s="160"/>
      <c r="AL126" s="39"/>
      <c r="AM126" s="41" t="s">
        <v>216</v>
      </c>
      <c r="AN126" s="43"/>
      <c r="AO126" s="160"/>
      <c r="AP126" s="39"/>
      <c r="AQ126" s="41" t="s">
        <v>216</v>
      </c>
      <c r="AR126" s="43"/>
      <c r="AS126" s="160"/>
      <c r="AT126" s="39"/>
      <c r="AU126" s="41" t="s">
        <v>216</v>
      </c>
      <c r="AV126" s="43"/>
      <c r="AW126" s="160"/>
    </row>
    <row r="127" spans="2:49" s="235" customFormat="1" ht="18.75">
      <c r="B127" s="407"/>
      <c r="C127" s="407"/>
      <c r="D127" s="438"/>
      <c r="E127" s="438"/>
      <c r="G127" s="397" t="s">
        <v>411</v>
      </c>
      <c r="H127" s="372" t="s">
        <v>39</v>
      </c>
      <c r="I127" s="398"/>
      <c r="J127" s="228"/>
      <c r="K127" s="408"/>
      <c r="L127" s="419"/>
      <c r="M127" s="420"/>
      <c r="N127" s="445"/>
      <c r="O127" s="418"/>
      <c r="P127" s="446"/>
      <c r="Q127" s="420"/>
      <c r="R127" s="421"/>
      <c r="S127" s="447"/>
      <c r="T127" s="439"/>
      <c r="U127" s="439"/>
      <c r="V127" s="397" t="s">
        <v>411</v>
      </c>
      <c r="W127" s="372" t="s">
        <v>39</v>
      </c>
      <c r="X127" s="398"/>
      <c r="Y127" s="402"/>
      <c r="Z127" s="397" t="s">
        <v>411</v>
      </c>
      <c r="AA127" s="372" t="s">
        <v>39</v>
      </c>
      <c r="AB127" s="398"/>
      <c r="AC127" s="402"/>
      <c r="AD127" s="397" t="s">
        <v>411</v>
      </c>
      <c r="AE127" s="372" t="s">
        <v>39</v>
      </c>
      <c r="AF127" s="398"/>
      <c r="AG127" s="402"/>
      <c r="AH127" s="397" t="s">
        <v>411</v>
      </c>
      <c r="AI127" s="372" t="s">
        <v>39</v>
      </c>
      <c r="AJ127" s="398"/>
      <c r="AK127" s="402"/>
      <c r="AL127" s="397" t="s">
        <v>411</v>
      </c>
      <c r="AM127" s="372" t="s">
        <v>39</v>
      </c>
      <c r="AN127" s="398"/>
      <c r="AO127" s="402"/>
      <c r="AP127" s="397" t="s">
        <v>411</v>
      </c>
      <c r="AQ127" s="372" t="s">
        <v>39</v>
      </c>
      <c r="AR127" s="398"/>
      <c r="AS127" s="402"/>
      <c r="AT127" s="397" t="s">
        <v>411</v>
      </c>
      <c r="AU127" s="372" t="s">
        <v>39</v>
      </c>
      <c r="AV127" s="398"/>
      <c r="AW127" s="402"/>
    </row>
    <row r="128" spans="1:49" s="30" customFormat="1" ht="18.75">
      <c r="A128" s="266"/>
      <c r="B128" s="557" t="s">
        <v>41</v>
      </c>
      <c r="C128" s="557" t="s">
        <v>22</v>
      </c>
      <c r="D128" s="568"/>
      <c r="E128" s="568"/>
      <c r="G128" s="448" t="s">
        <v>222</v>
      </c>
      <c r="H128" s="93" t="s">
        <v>41</v>
      </c>
      <c r="I128" s="562" t="s">
        <v>22</v>
      </c>
      <c r="J128" s="571">
        <f>J129+J130</f>
        <v>0.668</v>
      </c>
      <c r="K128" s="607">
        <v>0.06</v>
      </c>
      <c r="L128" s="565" t="e">
        <f>K128/$J128*#REF!-50</f>
        <v>#REF!</v>
      </c>
      <c r="M128" s="566">
        <v>0.06</v>
      </c>
      <c r="N128" s="608" t="e">
        <f>M128/$J128*#REF!-50</f>
        <v>#REF!</v>
      </c>
      <c r="O128" s="564">
        <v>0.05</v>
      </c>
      <c r="P128" s="609" t="e">
        <f>O128/$J128*#REF!+50</f>
        <v>#REF!</v>
      </c>
      <c r="Q128" s="566">
        <v>0.055</v>
      </c>
      <c r="R128" s="610" t="e">
        <f>Q128/$J128*#REF!+50</f>
        <v>#REF!</v>
      </c>
      <c r="S128" s="611">
        <f aca="true" t="shared" si="11" ref="S128:T133">K128+M128+O128+Q128</f>
        <v>0.22499999999999998</v>
      </c>
      <c r="T128" s="612" t="e">
        <f t="shared" si="11"/>
        <v>#REF!</v>
      </c>
      <c r="U128" s="612" t="e">
        <f>#REF!-T128</f>
        <v>#REF!</v>
      </c>
      <c r="V128" s="448" t="s">
        <v>222</v>
      </c>
      <c r="W128" s="93" t="s">
        <v>41</v>
      </c>
      <c r="X128" s="562" t="s">
        <v>22</v>
      </c>
      <c r="Y128" s="567">
        <f>Y129+Y130</f>
        <v>0.15000000000000002</v>
      </c>
      <c r="Z128" s="448" t="s">
        <v>222</v>
      </c>
      <c r="AA128" s="93" t="s">
        <v>41</v>
      </c>
      <c r="AB128" s="562" t="s">
        <v>22</v>
      </c>
      <c r="AC128" s="567">
        <f>AC129+AC130</f>
        <v>0.14200000000000002</v>
      </c>
      <c r="AD128" s="448" t="s">
        <v>222</v>
      </c>
      <c r="AE128" s="93" t="s">
        <v>41</v>
      </c>
      <c r="AF128" s="562" t="s">
        <v>22</v>
      </c>
      <c r="AG128" s="567">
        <f>AG129+AG130</f>
        <v>0.186</v>
      </c>
      <c r="AH128" s="448" t="s">
        <v>222</v>
      </c>
      <c r="AI128" s="93" t="s">
        <v>41</v>
      </c>
      <c r="AJ128" s="562" t="s">
        <v>22</v>
      </c>
      <c r="AK128" s="567">
        <f>AK129+AK130</f>
        <v>0.08</v>
      </c>
      <c r="AL128" s="448" t="s">
        <v>222</v>
      </c>
      <c r="AM128" s="93" t="s">
        <v>41</v>
      </c>
      <c r="AN128" s="562" t="s">
        <v>22</v>
      </c>
      <c r="AO128" s="567">
        <f>AO129+AO130</f>
        <v>0.08</v>
      </c>
      <c r="AP128" s="448" t="s">
        <v>222</v>
      </c>
      <c r="AQ128" s="93" t="s">
        <v>41</v>
      </c>
      <c r="AR128" s="562" t="s">
        <v>22</v>
      </c>
      <c r="AS128" s="567">
        <f>AS129+AS130</f>
        <v>0.03</v>
      </c>
      <c r="AT128" s="448" t="s">
        <v>222</v>
      </c>
      <c r="AU128" s="93" t="s">
        <v>41</v>
      </c>
      <c r="AV128" s="562" t="s">
        <v>22</v>
      </c>
      <c r="AW128" s="567">
        <f>AW129+AW130</f>
        <v>0</v>
      </c>
    </row>
    <row r="129" spans="1:49" s="32" customFormat="1" ht="15.75">
      <c r="A129" s="78"/>
      <c r="B129" s="84" t="s">
        <v>349</v>
      </c>
      <c r="C129" s="85" t="s">
        <v>28</v>
      </c>
      <c r="D129" s="526">
        <v>543</v>
      </c>
      <c r="E129" s="526">
        <v>543</v>
      </c>
      <c r="F129"/>
      <c r="G129" s="20" t="s">
        <v>199</v>
      </c>
      <c r="H129" s="84" t="s">
        <v>349</v>
      </c>
      <c r="I129" s="85" t="s">
        <v>28</v>
      </c>
      <c r="J129" s="333">
        <f>Y129+AC129+AG129+AK129+AO129+AS129+AW129</f>
        <v>0.15700000000000003</v>
      </c>
      <c r="K129" s="190"/>
      <c r="L129" s="192"/>
      <c r="M129" s="198"/>
      <c r="N129" s="194"/>
      <c r="O129" s="199"/>
      <c r="P129" s="196"/>
      <c r="Q129" s="198"/>
      <c r="R129" s="197"/>
      <c r="S129" s="223"/>
      <c r="T129" s="661"/>
      <c r="U129" s="661"/>
      <c r="V129" s="20" t="s">
        <v>199</v>
      </c>
      <c r="W129" s="3" t="s">
        <v>349</v>
      </c>
      <c r="X129" s="11" t="s">
        <v>28</v>
      </c>
      <c r="Y129" s="206">
        <v>0.07</v>
      </c>
      <c r="Z129" s="20" t="s">
        <v>199</v>
      </c>
      <c r="AA129" s="3" t="s">
        <v>349</v>
      </c>
      <c r="AB129" s="11" t="s">
        <v>28</v>
      </c>
      <c r="AC129" s="206">
        <v>0.037</v>
      </c>
      <c r="AD129" s="20" t="s">
        <v>199</v>
      </c>
      <c r="AE129" s="3" t="s">
        <v>349</v>
      </c>
      <c r="AF129" s="11" t="s">
        <v>28</v>
      </c>
      <c r="AG129" s="206"/>
      <c r="AH129" s="20" t="s">
        <v>199</v>
      </c>
      <c r="AI129" s="3" t="s">
        <v>349</v>
      </c>
      <c r="AJ129" s="11" t="s">
        <v>28</v>
      </c>
      <c r="AK129" s="206"/>
      <c r="AL129" s="20" t="s">
        <v>199</v>
      </c>
      <c r="AM129" s="3" t="s">
        <v>349</v>
      </c>
      <c r="AN129" s="11" t="s">
        <v>28</v>
      </c>
      <c r="AO129" s="206">
        <v>0.05</v>
      </c>
      <c r="AP129" s="20" t="s">
        <v>199</v>
      </c>
      <c r="AQ129" s="3" t="s">
        <v>349</v>
      </c>
      <c r="AR129" s="11" t="s">
        <v>28</v>
      </c>
      <c r="AS129" s="206"/>
      <c r="AT129" s="20" t="s">
        <v>199</v>
      </c>
      <c r="AU129" s="3" t="s">
        <v>349</v>
      </c>
      <c r="AV129" s="11" t="s">
        <v>28</v>
      </c>
      <c r="AW129" s="158"/>
    </row>
    <row r="130" spans="1:49" s="32" customFormat="1" ht="15.75">
      <c r="A130" s="78"/>
      <c r="B130" s="84" t="s">
        <v>350</v>
      </c>
      <c r="C130" s="85" t="s">
        <v>28</v>
      </c>
      <c r="D130" s="526">
        <v>1656</v>
      </c>
      <c r="E130" s="526">
        <v>1656</v>
      </c>
      <c r="F130"/>
      <c r="G130" s="20" t="s">
        <v>200</v>
      </c>
      <c r="H130" s="84" t="s">
        <v>350</v>
      </c>
      <c r="I130" s="85" t="s">
        <v>28</v>
      </c>
      <c r="J130" s="333">
        <f>Y130+AC130+AG130+AK130+AO130+AS130+AW130</f>
        <v>0.511</v>
      </c>
      <c r="K130" s="190"/>
      <c r="L130" s="192"/>
      <c r="M130" s="198"/>
      <c r="N130" s="194"/>
      <c r="O130" s="199"/>
      <c r="P130" s="196"/>
      <c r="Q130" s="198"/>
      <c r="R130" s="197"/>
      <c r="S130" s="223"/>
      <c r="T130" s="661"/>
      <c r="U130" s="661"/>
      <c r="V130" s="20" t="s">
        <v>200</v>
      </c>
      <c r="W130" s="3" t="s">
        <v>350</v>
      </c>
      <c r="X130" s="11" t="s">
        <v>28</v>
      </c>
      <c r="Y130" s="206">
        <v>0.08</v>
      </c>
      <c r="Z130" s="20" t="s">
        <v>200</v>
      </c>
      <c r="AA130" s="3" t="s">
        <v>350</v>
      </c>
      <c r="AB130" s="11" t="s">
        <v>28</v>
      </c>
      <c r="AC130" s="206">
        <f>0.117-0.012</f>
        <v>0.10500000000000001</v>
      </c>
      <c r="AD130" s="20" t="s">
        <v>200</v>
      </c>
      <c r="AE130" s="3" t="s">
        <v>350</v>
      </c>
      <c r="AF130" s="11" t="s">
        <v>28</v>
      </c>
      <c r="AG130" s="206">
        <f>0.03+0.156</f>
        <v>0.186</v>
      </c>
      <c r="AH130" s="20" t="s">
        <v>200</v>
      </c>
      <c r="AI130" s="3" t="s">
        <v>350</v>
      </c>
      <c r="AJ130" s="11" t="s">
        <v>28</v>
      </c>
      <c r="AK130" s="206">
        <v>0.08</v>
      </c>
      <c r="AL130" s="20" t="s">
        <v>200</v>
      </c>
      <c r="AM130" s="3" t="s">
        <v>350</v>
      </c>
      <c r="AN130" s="11" t="s">
        <v>28</v>
      </c>
      <c r="AO130" s="206">
        <v>0.03</v>
      </c>
      <c r="AP130" s="20" t="s">
        <v>200</v>
      </c>
      <c r="AQ130" s="3" t="s">
        <v>350</v>
      </c>
      <c r="AR130" s="11" t="s">
        <v>28</v>
      </c>
      <c r="AS130" s="206">
        <v>0.03</v>
      </c>
      <c r="AT130" s="20" t="s">
        <v>200</v>
      </c>
      <c r="AU130" s="3" t="s">
        <v>350</v>
      </c>
      <c r="AV130" s="11" t="s">
        <v>28</v>
      </c>
      <c r="AW130" s="158"/>
    </row>
    <row r="131" spans="1:49" s="32" customFormat="1" ht="15.75">
      <c r="A131" s="78"/>
      <c r="B131" s="98" t="s">
        <v>42</v>
      </c>
      <c r="C131" s="98" t="s">
        <v>215</v>
      </c>
      <c r="D131" s="510">
        <v>0.917</v>
      </c>
      <c r="E131" s="510">
        <v>0.917</v>
      </c>
      <c r="F131"/>
      <c r="G131" s="20" t="s">
        <v>201</v>
      </c>
      <c r="H131" s="84" t="s">
        <v>42</v>
      </c>
      <c r="I131" s="85" t="s">
        <v>11</v>
      </c>
      <c r="J131" s="334">
        <f>Y131+AC131+AG131+AK131+AO131+AS131+AW131</f>
        <v>7</v>
      </c>
      <c r="K131" s="174">
        <v>3</v>
      </c>
      <c r="L131" s="192" t="e">
        <f>K131/$J131*#REF!+35</f>
        <v>#REF!</v>
      </c>
      <c r="M131" s="193">
        <v>4</v>
      </c>
      <c r="N131" s="194" t="e">
        <f>M131/$J131*#REF!-35</f>
        <v>#REF!</v>
      </c>
      <c r="O131" s="195"/>
      <c r="P131" s="196"/>
      <c r="Q131" s="193"/>
      <c r="R131" s="197"/>
      <c r="S131" s="223">
        <f t="shared" si="11"/>
        <v>7</v>
      </c>
      <c r="T131" s="661" t="e">
        <f t="shared" si="11"/>
        <v>#REF!</v>
      </c>
      <c r="U131" s="661" t="e">
        <f>#REF!-T131</f>
        <v>#REF!</v>
      </c>
      <c r="V131" s="20" t="s">
        <v>201</v>
      </c>
      <c r="W131" s="3" t="s">
        <v>42</v>
      </c>
      <c r="X131" s="11" t="s">
        <v>11</v>
      </c>
      <c r="Y131" s="158">
        <v>1</v>
      </c>
      <c r="Z131" s="20" t="s">
        <v>201</v>
      </c>
      <c r="AA131" s="3" t="s">
        <v>42</v>
      </c>
      <c r="AB131" s="11" t="s">
        <v>11</v>
      </c>
      <c r="AC131" s="158">
        <v>1</v>
      </c>
      <c r="AD131" s="20" t="s">
        <v>201</v>
      </c>
      <c r="AE131" s="3" t="s">
        <v>42</v>
      </c>
      <c r="AF131" s="11" t="s">
        <v>11</v>
      </c>
      <c r="AG131" s="158">
        <v>1</v>
      </c>
      <c r="AH131" s="20" t="s">
        <v>201</v>
      </c>
      <c r="AI131" s="3" t="s">
        <v>42</v>
      </c>
      <c r="AJ131" s="11" t="s">
        <v>11</v>
      </c>
      <c r="AK131" s="158">
        <v>1</v>
      </c>
      <c r="AL131" s="20" t="s">
        <v>201</v>
      </c>
      <c r="AM131" s="3" t="s">
        <v>42</v>
      </c>
      <c r="AN131" s="11" t="s">
        <v>11</v>
      </c>
      <c r="AO131" s="158">
        <v>1</v>
      </c>
      <c r="AP131" s="20" t="s">
        <v>201</v>
      </c>
      <c r="AQ131" s="3" t="s">
        <v>42</v>
      </c>
      <c r="AR131" s="11" t="s">
        <v>11</v>
      </c>
      <c r="AS131" s="158">
        <v>1</v>
      </c>
      <c r="AT131" s="20" t="s">
        <v>201</v>
      </c>
      <c r="AU131" s="3" t="s">
        <v>42</v>
      </c>
      <c r="AV131" s="11" t="s">
        <v>11</v>
      </c>
      <c r="AW131" s="158">
        <v>1</v>
      </c>
    </row>
    <row r="132" spans="1:49" s="32" customFormat="1" ht="15.75">
      <c r="A132" s="78"/>
      <c r="B132" s="98" t="s">
        <v>90</v>
      </c>
      <c r="C132" s="98" t="s">
        <v>22</v>
      </c>
      <c r="D132" s="509">
        <v>465</v>
      </c>
      <c r="E132" s="509">
        <v>465</v>
      </c>
      <c r="F132"/>
      <c r="G132" s="20" t="s">
        <v>202</v>
      </c>
      <c r="H132" s="84" t="s">
        <v>90</v>
      </c>
      <c r="I132" s="85" t="s">
        <v>22</v>
      </c>
      <c r="J132" s="333">
        <f>Y132+AC132+AG132+AK132+AO132+AS132+AW132</f>
        <v>0.1</v>
      </c>
      <c r="K132" s="174">
        <v>0.02</v>
      </c>
      <c r="L132" s="192" t="e">
        <f>K132/$J132*#REF!</f>
        <v>#REF!</v>
      </c>
      <c r="M132" s="193">
        <v>0.02</v>
      </c>
      <c r="N132" s="194" t="e">
        <f>M132/$J132*#REF!</f>
        <v>#REF!</v>
      </c>
      <c r="O132" s="195">
        <v>0.02</v>
      </c>
      <c r="P132" s="196" t="e">
        <f>O132/$J132*#REF!</f>
        <v>#REF!</v>
      </c>
      <c r="Q132" s="193">
        <v>0.02</v>
      </c>
      <c r="R132" s="197" t="e">
        <f>Q132/$J132*#REF!</f>
        <v>#REF!</v>
      </c>
      <c r="S132" s="223">
        <f t="shared" si="11"/>
        <v>0.08</v>
      </c>
      <c r="T132" s="661" t="e">
        <f t="shared" si="11"/>
        <v>#REF!</v>
      </c>
      <c r="U132" s="661" t="e">
        <f>#REF!-T132</f>
        <v>#REF!</v>
      </c>
      <c r="V132" s="20" t="s">
        <v>202</v>
      </c>
      <c r="W132" s="3" t="s">
        <v>90</v>
      </c>
      <c r="X132" s="11" t="s">
        <v>22</v>
      </c>
      <c r="Y132" s="206">
        <v>0.03</v>
      </c>
      <c r="Z132" s="20" t="s">
        <v>202</v>
      </c>
      <c r="AA132" s="3" t="s">
        <v>90</v>
      </c>
      <c r="AB132" s="11" t="s">
        <v>22</v>
      </c>
      <c r="AC132" s="158"/>
      <c r="AD132" s="20" t="s">
        <v>202</v>
      </c>
      <c r="AE132" s="3" t="s">
        <v>90</v>
      </c>
      <c r="AF132" s="11" t="s">
        <v>22</v>
      </c>
      <c r="AG132" s="206">
        <v>0.02</v>
      </c>
      <c r="AH132" s="20" t="s">
        <v>202</v>
      </c>
      <c r="AI132" s="3" t="s">
        <v>90</v>
      </c>
      <c r="AJ132" s="11" t="s">
        <v>22</v>
      </c>
      <c r="AK132" s="206">
        <v>0.02</v>
      </c>
      <c r="AL132" s="20" t="s">
        <v>202</v>
      </c>
      <c r="AM132" s="3" t="s">
        <v>90</v>
      </c>
      <c r="AN132" s="11" t="s">
        <v>22</v>
      </c>
      <c r="AO132" s="158"/>
      <c r="AP132" s="20" t="s">
        <v>202</v>
      </c>
      <c r="AQ132" s="3" t="s">
        <v>90</v>
      </c>
      <c r="AR132" s="11" t="s">
        <v>22</v>
      </c>
      <c r="AS132" s="206">
        <v>0.03</v>
      </c>
      <c r="AT132" s="20" t="s">
        <v>202</v>
      </c>
      <c r="AU132" s="3" t="s">
        <v>90</v>
      </c>
      <c r="AV132" s="11" t="s">
        <v>22</v>
      </c>
      <c r="AW132" s="158"/>
    </row>
    <row r="133" spans="1:49" s="32" customFormat="1" ht="15.75" hidden="1">
      <c r="A133" s="78"/>
      <c r="B133" s="98" t="s">
        <v>43</v>
      </c>
      <c r="C133" s="98" t="s">
        <v>22</v>
      </c>
      <c r="D133" s="509">
        <v>56</v>
      </c>
      <c r="E133" s="509">
        <v>56</v>
      </c>
      <c r="F133"/>
      <c r="G133" s="20" t="s">
        <v>362</v>
      </c>
      <c r="H133" s="84" t="s">
        <v>43</v>
      </c>
      <c r="I133" s="85" t="s">
        <v>22</v>
      </c>
      <c r="J133" s="333">
        <f>Y133+AC133+AG133+AK133+AO133+AS133+AW133</f>
        <v>0</v>
      </c>
      <c r="K133" s="174"/>
      <c r="L133" s="192"/>
      <c r="M133" s="193"/>
      <c r="N133" s="194"/>
      <c r="O133" s="200"/>
      <c r="P133" s="192"/>
      <c r="Q133" s="193"/>
      <c r="R133" s="197"/>
      <c r="S133" s="223">
        <f t="shared" si="11"/>
        <v>0</v>
      </c>
      <c r="T133" s="661">
        <f t="shared" si="11"/>
        <v>0</v>
      </c>
      <c r="U133" s="661" t="e">
        <f>#REF!-T133</f>
        <v>#REF!</v>
      </c>
      <c r="V133" s="20" t="s">
        <v>362</v>
      </c>
      <c r="W133" s="3" t="s">
        <v>43</v>
      </c>
      <c r="X133" s="11" t="s">
        <v>22</v>
      </c>
      <c r="Y133" s="158"/>
      <c r="Z133" s="20" t="s">
        <v>362</v>
      </c>
      <c r="AA133" s="3" t="s">
        <v>43</v>
      </c>
      <c r="AB133" s="11" t="s">
        <v>22</v>
      </c>
      <c r="AC133" s="158"/>
      <c r="AD133" s="20" t="s">
        <v>362</v>
      </c>
      <c r="AE133" s="3" t="s">
        <v>43</v>
      </c>
      <c r="AF133" s="11" t="s">
        <v>22</v>
      </c>
      <c r="AG133" s="158"/>
      <c r="AH133" s="20" t="s">
        <v>362</v>
      </c>
      <c r="AI133" s="3" t="s">
        <v>43</v>
      </c>
      <c r="AJ133" s="11" t="s">
        <v>22</v>
      </c>
      <c r="AK133" s="158"/>
      <c r="AL133" s="20" t="s">
        <v>362</v>
      </c>
      <c r="AM133" s="3" t="s">
        <v>43</v>
      </c>
      <c r="AN133" s="11" t="s">
        <v>22</v>
      </c>
      <c r="AO133" s="158"/>
      <c r="AP133" s="20" t="s">
        <v>362</v>
      </c>
      <c r="AQ133" s="3" t="s">
        <v>43</v>
      </c>
      <c r="AR133" s="11" t="s">
        <v>22</v>
      </c>
      <c r="AS133" s="158"/>
      <c r="AT133" s="20" t="s">
        <v>362</v>
      </c>
      <c r="AU133" s="3" t="s">
        <v>43</v>
      </c>
      <c r="AV133" s="11" t="s">
        <v>22</v>
      </c>
      <c r="AW133" s="158"/>
    </row>
    <row r="134" spans="6:49" s="32" customFormat="1" ht="15.75">
      <c r="F134"/>
      <c r="G134" s="102"/>
      <c r="H134" s="103" t="s">
        <v>216</v>
      </c>
      <c r="I134" s="104"/>
      <c r="J134" s="104"/>
      <c r="K134" s="70"/>
      <c r="L134" s="49" t="e">
        <f>SUM(L128:L133)</f>
        <v>#REF!</v>
      </c>
      <c r="M134" s="164"/>
      <c r="N134" s="49" t="e">
        <f>SUM(N128:N133)</f>
        <v>#REF!</v>
      </c>
      <c r="O134" s="162"/>
      <c r="P134" s="49" t="e">
        <f>SUM(P128:P133)</f>
        <v>#REF!</v>
      </c>
      <c r="Q134" s="164"/>
      <c r="R134" s="49" t="e">
        <f>SUM(R128:R133)</f>
        <v>#REF!</v>
      </c>
      <c r="S134" s="163"/>
      <c r="T134" s="163" t="e">
        <f>SUM(T128:T133)</f>
        <v>#REF!</v>
      </c>
      <c r="U134" s="163" t="e">
        <f>SUM(U128:U133)</f>
        <v>#REF!</v>
      </c>
      <c r="V134" s="220"/>
      <c r="W134" s="41" t="s">
        <v>216</v>
      </c>
      <c r="X134" s="43"/>
      <c r="Y134" s="160"/>
      <c r="Z134" s="39"/>
      <c r="AA134" s="41" t="s">
        <v>216</v>
      </c>
      <c r="AB134" s="43"/>
      <c r="AC134" s="160"/>
      <c r="AD134" s="39"/>
      <c r="AE134" s="41" t="s">
        <v>216</v>
      </c>
      <c r="AF134" s="43"/>
      <c r="AG134" s="160"/>
      <c r="AH134" s="39"/>
      <c r="AI134" s="41" t="s">
        <v>216</v>
      </c>
      <c r="AJ134" s="43"/>
      <c r="AK134" s="160"/>
      <c r="AL134" s="39"/>
      <c r="AM134" s="41" t="s">
        <v>216</v>
      </c>
      <c r="AN134" s="43"/>
      <c r="AO134" s="160"/>
      <c r="AP134" s="39"/>
      <c r="AQ134" s="41" t="s">
        <v>216</v>
      </c>
      <c r="AR134" s="43"/>
      <c r="AS134" s="160"/>
      <c r="AT134" s="39"/>
      <c r="AU134" s="41" t="s">
        <v>216</v>
      </c>
      <c r="AV134" s="43"/>
      <c r="AW134" s="160"/>
    </row>
    <row r="135" spans="6:49" s="32" customFormat="1" ht="15.75" hidden="1">
      <c r="F135"/>
      <c r="G135" s="83" t="s">
        <v>203</v>
      </c>
      <c r="H135" s="84" t="s">
        <v>52</v>
      </c>
      <c r="I135" s="86" t="s">
        <v>11</v>
      </c>
      <c r="J135" s="334">
        <f>Y135+AC135+AG135+AK135+AO135+AS135+AW135</f>
        <v>0</v>
      </c>
      <c r="K135" s="174"/>
      <c r="L135" s="192"/>
      <c r="M135" s="200"/>
      <c r="N135" s="192"/>
      <c r="O135" s="200"/>
      <c r="P135" s="192"/>
      <c r="Q135" s="200"/>
      <c r="R135" s="201"/>
      <c r="S135" s="223">
        <f aca="true" t="shared" si="12" ref="S135:T137">K135+M135+O135+Q135</f>
        <v>0</v>
      </c>
      <c r="T135" s="661">
        <f t="shared" si="12"/>
        <v>0</v>
      </c>
      <c r="U135" s="661" t="e">
        <f>#REF!-T135</f>
        <v>#REF!</v>
      </c>
      <c r="V135" s="219" t="s">
        <v>203</v>
      </c>
      <c r="W135" s="3" t="s">
        <v>52</v>
      </c>
      <c r="X135" s="12" t="s">
        <v>11</v>
      </c>
      <c r="Y135" s="659"/>
      <c r="Z135" s="20" t="s">
        <v>203</v>
      </c>
      <c r="AA135" s="3" t="s">
        <v>52</v>
      </c>
      <c r="AB135" s="12" t="s">
        <v>11</v>
      </c>
      <c r="AC135" s="659"/>
      <c r="AD135" s="20" t="s">
        <v>203</v>
      </c>
      <c r="AE135" s="3" t="s">
        <v>52</v>
      </c>
      <c r="AF135" s="12" t="s">
        <v>11</v>
      </c>
      <c r="AG135" s="659"/>
      <c r="AH135" s="20" t="s">
        <v>203</v>
      </c>
      <c r="AI135" s="3" t="s">
        <v>52</v>
      </c>
      <c r="AJ135" s="12" t="s">
        <v>11</v>
      </c>
      <c r="AK135" s="659"/>
      <c r="AL135" s="20" t="s">
        <v>203</v>
      </c>
      <c r="AM135" s="3" t="s">
        <v>52</v>
      </c>
      <c r="AN135" s="12" t="s">
        <v>11</v>
      </c>
      <c r="AO135" s="659"/>
      <c r="AP135" s="20" t="s">
        <v>203</v>
      </c>
      <c r="AQ135" s="3" t="s">
        <v>52</v>
      </c>
      <c r="AR135" s="12" t="s">
        <v>11</v>
      </c>
      <c r="AS135" s="659"/>
      <c r="AT135" s="20" t="s">
        <v>203</v>
      </c>
      <c r="AU135" s="3" t="s">
        <v>52</v>
      </c>
      <c r="AV135" s="12" t="s">
        <v>11</v>
      </c>
      <c r="AW135" s="659"/>
    </row>
    <row r="136" spans="6:49" s="32" customFormat="1" ht="15.75" hidden="1">
      <c r="F136"/>
      <c r="G136" s="83" t="s">
        <v>204</v>
      </c>
      <c r="H136" s="84" t="s">
        <v>55</v>
      </c>
      <c r="I136" s="86" t="s">
        <v>11</v>
      </c>
      <c r="J136" s="334">
        <f>Y136+AC136+AG136+AK136+AO136+AS136+AW136</f>
        <v>0</v>
      </c>
      <c r="K136" s="174"/>
      <c r="L136" s="175"/>
      <c r="M136" s="174"/>
      <c r="N136" s="175"/>
      <c r="O136" s="174"/>
      <c r="P136" s="175"/>
      <c r="Q136" s="174"/>
      <c r="R136" s="176"/>
      <c r="S136" s="223">
        <f t="shared" si="12"/>
        <v>0</v>
      </c>
      <c r="T136" s="661">
        <f t="shared" si="12"/>
        <v>0</v>
      </c>
      <c r="U136" s="661" t="e">
        <f>#REF!-T136</f>
        <v>#REF!</v>
      </c>
      <c r="V136" s="219" t="s">
        <v>204</v>
      </c>
      <c r="W136" s="3" t="s">
        <v>55</v>
      </c>
      <c r="X136" s="12" t="s">
        <v>11</v>
      </c>
      <c r="Y136" s="659"/>
      <c r="Z136" s="20" t="s">
        <v>204</v>
      </c>
      <c r="AA136" s="3" t="s">
        <v>55</v>
      </c>
      <c r="AB136" s="12" t="s">
        <v>11</v>
      </c>
      <c r="AC136" s="659"/>
      <c r="AD136" s="20" t="s">
        <v>204</v>
      </c>
      <c r="AE136" s="3" t="s">
        <v>55</v>
      </c>
      <c r="AF136" s="12" t="s">
        <v>11</v>
      </c>
      <c r="AG136" s="659"/>
      <c r="AH136" s="20" t="s">
        <v>204</v>
      </c>
      <c r="AI136" s="3" t="s">
        <v>55</v>
      </c>
      <c r="AJ136" s="12" t="s">
        <v>11</v>
      </c>
      <c r="AK136" s="659"/>
      <c r="AL136" s="20" t="s">
        <v>204</v>
      </c>
      <c r="AM136" s="3" t="s">
        <v>55</v>
      </c>
      <c r="AN136" s="12" t="s">
        <v>11</v>
      </c>
      <c r="AO136" s="659"/>
      <c r="AP136" s="20" t="s">
        <v>204</v>
      </c>
      <c r="AQ136" s="3" t="s">
        <v>55</v>
      </c>
      <c r="AR136" s="12" t="s">
        <v>11</v>
      </c>
      <c r="AS136" s="659"/>
      <c r="AT136" s="20" t="s">
        <v>204</v>
      </c>
      <c r="AU136" s="3" t="s">
        <v>55</v>
      </c>
      <c r="AV136" s="12" t="s">
        <v>11</v>
      </c>
      <c r="AW136" s="659"/>
    </row>
    <row r="137" spans="6:49" s="32" customFormat="1" ht="15.75" hidden="1">
      <c r="F137"/>
      <c r="G137" s="83" t="s">
        <v>205</v>
      </c>
      <c r="H137" s="84" t="s">
        <v>57</v>
      </c>
      <c r="I137" s="86" t="s">
        <v>11</v>
      </c>
      <c r="J137" s="334">
        <f>Y137+AC137+AG137+AK137+AO137+AS137+AW137</f>
        <v>0</v>
      </c>
      <c r="K137" s="174"/>
      <c r="L137" s="175"/>
      <c r="M137" s="174"/>
      <c r="N137" s="175"/>
      <c r="O137" s="174"/>
      <c r="P137" s="175"/>
      <c r="Q137" s="174"/>
      <c r="R137" s="176"/>
      <c r="S137" s="223">
        <f t="shared" si="12"/>
        <v>0</v>
      </c>
      <c r="T137" s="661">
        <f t="shared" si="12"/>
        <v>0</v>
      </c>
      <c r="U137" s="661" t="e">
        <f>#REF!-T137</f>
        <v>#REF!</v>
      </c>
      <c r="V137" s="219" t="s">
        <v>205</v>
      </c>
      <c r="W137" s="3" t="s">
        <v>57</v>
      </c>
      <c r="X137" s="12" t="s">
        <v>11</v>
      </c>
      <c r="Y137" s="659"/>
      <c r="Z137" s="20" t="s">
        <v>205</v>
      </c>
      <c r="AA137" s="3" t="s">
        <v>57</v>
      </c>
      <c r="AB137" s="12" t="s">
        <v>11</v>
      </c>
      <c r="AC137" s="659"/>
      <c r="AD137" s="20" t="s">
        <v>205</v>
      </c>
      <c r="AE137" s="3" t="s">
        <v>57</v>
      </c>
      <c r="AF137" s="12" t="s">
        <v>11</v>
      </c>
      <c r="AG137" s="659"/>
      <c r="AH137" s="20" t="s">
        <v>205</v>
      </c>
      <c r="AI137" s="3" t="s">
        <v>57</v>
      </c>
      <c r="AJ137" s="12" t="s">
        <v>11</v>
      </c>
      <c r="AK137" s="659"/>
      <c r="AL137" s="20" t="s">
        <v>205</v>
      </c>
      <c r="AM137" s="3" t="s">
        <v>57</v>
      </c>
      <c r="AN137" s="12" t="s">
        <v>11</v>
      </c>
      <c r="AO137" s="659"/>
      <c r="AP137" s="20" t="s">
        <v>205</v>
      </c>
      <c r="AQ137" s="3" t="s">
        <v>57</v>
      </c>
      <c r="AR137" s="12" t="s">
        <v>11</v>
      </c>
      <c r="AS137" s="659"/>
      <c r="AT137" s="20" t="s">
        <v>205</v>
      </c>
      <c r="AU137" s="3" t="s">
        <v>57</v>
      </c>
      <c r="AV137" s="12" t="s">
        <v>11</v>
      </c>
      <c r="AW137" s="659"/>
    </row>
    <row r="138" spans="6:49" s="32" customFormat="1" ht="15.75" hidden="1">
      <c r="F138"/>
      <c r="G138" s="102"/>
      <c r="H138" s="103" t="s">
        <v>27</v>
      </c>
      <c r="I138" s="104"/>
      <c r="J138" s="107"/>
      <c r="K138" s="70"/>
      <c r="L138" s="71"/>
      <c r="M138" s="72"/>
      <c r="N138" s="167"/>
      <c r="O138" s="70"/>
      <c r="P138" s="71"/>
      <c r="Q138" s="72"/>
      <c r="R138" s="161"/>
      <c r="S138" s="161"/>
      <c r="T138" s="161" t="e">
        <f>SUM(T126:T137)</f>
        <v>#REF!</v>
      </c>
      <c r="U138" s="161" t="e">
        <f>SUM(U126:U137)</f>
        <v>#REF!</v>
      </c>
      <c r="V138" s="220"/>
      <c r="W138" s="41" t="s">
        <v>27</v>
      </c>
      <c r="X138" s="43"/>
      <c r="Y138" s="160"/>
      <c r="Z138" s="39"/>
      <c r="AA138" s="41" t="s">
        <v>27</v>
      </c>
      <c r="AB138" s="43"/>
      <c r="AC138" s="160"/>
      <c r="AD138" s="39"/>
      <c r="AE138" s="41" t="s">
        <v>27</v>
      </c>
      <c r="AF138" s="43"/>
      <c r="AG138" s="40"/>
      <c r="AH138" s="39"/>
      <c r="AI138" s="41" t="s">
        <v>27</v>
      </c>
      <c r="AJ138" s="43"/>
      <c r="AK138" s="160"/>
      <c r="AL138" s="39"/>
      <c r="AM138" s="41" t="s">
        <v>27</v>
      </c>
      <c r="AN138" s="43"/>
      <c r="AO138" s="160"/>
      <c r="AP138" s="39"/>
      <c r="AQ138" s="41" t="s">
        <v>27</v>
      </c>
      <c r="AR138" s="43"/>
      <c r="AS138" s="160"/>
      <c r="AT138" s="39"/>
      <c r="AU138" s="41" t="s">
        <v>27</v>
      </c>
      <c r="AV138" s="43"/>
      <c r="AW138" s="160"/>
    </row>
    <row r="139" spans="7:49" ht="12.75">
      <c r="G139" s="307"/>
      <c r="H139" s="314"/>
      <c r="I139" s="315"/>
      <c r="J139" s="316"/>
      <c r="K139" s="316"/>
      <c r="L139" s="218"/>
      <c r="M139" s="316"/>
      <c r="N139" s="218"/>
      <c r="O139" s="316"/>
      <c r="P139" s="218"/>
      <c r="Q139" s="316"/>
      <c r="R139" s="218"/>
      <c r="S139" s="218"/>
      <c r="T139" s="212"/>
      <c r="U139" s="212"/>
      <c r="V139" s="307"/>
      <c r="W139" s="314"/>
      <c r="X139" s="315"/>
      <c r="Y139" s="222"/>
      <c r="Z139" s="307"/>
      <c r="AA139" s="314"/>
      <c r="AB139" s="315"/>
      <c r="AC139" s="222"/>
      <c r="AD139" s="307"/>
      <c r="AE139" s="314"/>
      <c r="AF139" s="315"/>
      <c r="AG139" s="222"/>
      <c r="AH139" s="307"/>
      <c r="AI139" s="314"/>
      <c r="AJ139" s="315"/>
      <c r="AK139" s="222"/>
      <c r="AL139" s="307"/>
      <c r="AM139" s="314"/>
      <c r="AN139" s="315"/>
      <c r="AO139" s="222"/>
      <c r="AP139" s="307"/>
      <c r="AQ139" s="314"/>
      <c r="AR139" s="315"/>
      <c r="AS139" s="222"/>
      <c r="AT139" s="307"/>
      <c r="AU139" s="314"/>
      <c r="AV139" s="315"/>
      <c r="AW139" s="222"/>
    </row>
    <row r="140" spans="7:49" ht="12.75">
      <c r="G140" s="307"/>
      <c r="H140" s="314"/>
      <c r="I140" s="315"/>
      <c r="J140" s="316"/>
      <c r="K140" s="316"/>
      <c r="L140" s="218"/>
      <c r="M140" s="316"/>
      <c r="N140" s="218"/>
      <c r="O140" s="316"/>
      <c r="P140" s="218"/>
      <c r="Q140" s="316"/>
      <c r="R140" s="218"/>
      <c r="S140" s="218"/>
      <c r="T140" s="212"/>
      <c r="U140" s="212"/>
      <c r="V140" s="307"/>
      <c r="W140" s="314"/>
      <c r="X140" s="315"/>
      <c r="Y140" s="222"/>
      <c r="Z140" s="307"/>
      <c r="AA140" s="314"/>
      <c r="AB140" s="315"/>
      <c r="AC140" s="222"/>
      <c r="AD140" s="307"/>
      <c r="AE140" s="314"/>
      <c r="AF140" s="315"/>
      <c r="AG140" s="222"/>
      <c r="AH140" s="307"/>
      <c r="AI140" s="314"/>
      <c r="AJ140" s="315"/>
      <c r="AK140" s="222"/>
      <c r="AL140" s="307"/>
      <c r="AM140" s="314"/>
      <c r="AN140" s="315"/>
      <c r="AO140" s="222"/>
      <c r="AP140" s="307"/>
      <c r="AQ140" s="314"/>
      <c r="AR140" s="315"/>
      <c r="AS140" s="222"/>
      <c r="AT140" s="307"/>
      <c r="AU140" s="314"/>
      <c r="AV140" s="315"/>
      <c r="AW140" s="222"/>
    </row>
    <row r="141" spans="7:49" ht="12.75">
      <c r="G141" s="307"/>
      <c r="H141" s="314"/>
      <c r="I141" s="315"/>
      <c r="J141" s="316"/>
      <c r="K141" s="316"/>
      <c r="L141" s="218"/>
      <c r="M141" s="316"/>
      <c r="N141" s="218"/>
      <c r="O141" s="316"/>
      <c r="P141" s="218"/>
      <c r="Q141" s="316"/>
      <c r="R141" s="218"/>
      <c r="S141" s="218"/>
      <c r="T141" s="212"/>
      <c r="U141" s="212"/>
      <c r="V141" s="307"/>
      <c r="W141" s="314"/>
      <c r="X141" s="315"/>
      <c r="Y141" s="222"/>
      <c r="Z141" s="307"/>
      <c r="AA141" s="314"/>
      <c r="AB141" s="315"/>
      <c r="AC141" s="222"/>
      <c r="AD141" s="307"/>
      <c r="AE141" s="314"/>
      <c r="AF141" s="315"/>
      <c r="AG141" s="222"/>
      <c r="AH141" s="307"/>
      <c r="AI141" s="314"/>
      <c r="AJ141" s="315"/>
      <c r="AK141" s="222"/>
      <c r="AL141" s="307"/>
      <c r="AM141" s="314"/>
      <c r="AN141" s="315"/>
      <c r="AO141" s="222"/>
      <c r="AP141" s="307"/>
      <c r="AQ141" s="314"/>
      <c r="AR141" s="315"/>
      <c r="AS141" s="222"/>
      <c r="AT141" s="307"/>
      <c r="AU141" s="314"/>
      <c r="AV141" s="315"/>
      <c r="AW141" s="222"/>
    </row>
    <row r="142" spans="11:21" ht="15">
      <c r="K142" s="29"/>
      <c r="L142" s="166"/>
      <c r="M142" s="29"/>
      <c r="N142" s="166"/>
      <c r="O142" s="29"/>
      <c r="P142" s="166"/>
      <c r="Q142" s="29"/>
      <c r="R142" s="166"/>
      <c r="S142" s="166"/>
      <c r="T142" s="29"/>
      <c r="U142" s="29"/>
    </row>
    <row r="143" spans="6:49" s="29" customFormat="1" ht="29.25" customHeight="1">
      <c r="F143"/>
      <c r="H143" s="148" t="s">
        <v>65</v>
      </c>
      <c r="J143" s="144" t="s">
        <v>310</v>
      </c>
      <c r="K143" s="224"/>
      <c r="L143" s="166"/>
      <c r="M143" s="166"/>
      <c r="N143" s="166"/>
      <c r="O143" s="166"/>
      <c r="P143" s="166"/>
      <c r="Q143" s="166"/>
      <c r="R143" s="166"/>
      <c r="S143" s="166"/>
      <c r="W143" s="148" t="s">
        <v>65</v>
      </c>
      <c r="Y143" s="144" t="s">
        <v>310</v>
      </c>
      <c r="AA143" s="148" t="s">
        <v>65</v>
      </c>
      <c r="AC143" s="144" t="s">
        <v>310</v>
      </c>
      <c r="AE143" s="148" t="s">
        <v>65</v>
      </c>
      <c r="AG143" s="144" t="s">
        <v>310</v>
      </c>
      <c r="AI143" s="148" t="s">
        <v>65</v>
      </c>
      <c r="AK143" s="144" t="s">
        <v>310</v>
      </c>
      <c r="AM143" s="148" t="s">
        <v>65</v>
      </c>
      <c r="AO143" s="144" t="s">
        <v>310</v>
      </c>
      <c r="AQ143" s="148" t="s">
        <v>65</v>
      </c>
      <c r="AS143" s="144" t="s">
        <v>310</v>
      </c>
      <c r="AU143" s="148" t="s">
        <v>65</v>
      </c>
      <c r="AW143" s="144" t="s">
        <v>310</v>
      </c>
    </row>
    <row r="144" spans="6:49" s="29" customFormat="1" ht="29.25" customHeight="1">
      <c r="F144"/>
      <c r="H144" s="148" t="s">
        <v>79</v>
      </c>
      <c r="J144" s="144" t="s">
        <v>150</v>
      </c>
      <c r="L144" s="166"/>
      <c r="M144" s="166"/>
      <c r="N144" s="166"/>
      <c r="O144" s="166"/>
      <c r="P144" s="166"/>
      <c r="Q144" s="166"/>
      <c r="R144" s="166"/>
      <c r="S144" s="38"/>
      <c r="W144" s="148" t="s">
        <v>79</v>
      </c>
      <c r="Y144" s="144" t="s">
        <v>150</v>
      </c>
      <c r="AA144" s="148" t="s">
        <v>79</v>
      </c>
      <c r="AC144" s="144" t="s">
        <v>150</v>
      </c>
      <c r="AE144" s="148" t="s">
        <v>79</v>
      </c>
      <c r="AG144" s="144" t="s">
        <v>150</v>
      </c>
      <c r="AI144" s="148" t="s">
        <v>79</v>
      </c>
      <c r="AK144" s="144" t="s">
        <v>150</v>
      </c>
      <c r="AM144" s="148" t="s">
        <v>79</v>
      </c>
      <c r="AO144" s="144" t="s">
        <v>150</v>
      </c>
      <c r="AQ144" s="148" t="s">
        <v>79</v>
      </c>
      <c r="AS144" s="144" t="s">
        <v>150</v>
      </c>
      <c r="AU144" s="148" t="s">
        <v>79</v>
      </c>
      <c r="AW144" s="144" t="s">
        <v>150</v>
      </c>
    </row>
    <row r="145" spans="6:49" s="29" customFormat="1" ht="29.25" customHeight="1">
      <c r="F145"/>
      <c r="H145" s="148" t="s">
        <v>66</v>
      </c>
      <c r="J145" s="144" t="s">
        <v>234</v>
      </c>
      <c r="L145" s="166"/>
      <c r="M145" s="166"/>
      <c r="N145" s="166"/>
      <c r="O145" s="166"/>
      <c r="P145" s="166"/>
      <c r="Q145" s="166"/>
      <c r="R145" s="166"/>
      <c r="S145" s="166"/>
      <c r="W145" s="148" t="s">
        <v>66</v>
      </c>
      <c r="Y145" s="144" t="s">
        <v>234</v>
      </c>
      <c r="AA145" s="148" t="s">
        <v>66</v>
      </c>
      <c r="AC145" s="144" t="s">
        <v>234</v>
      </c>
      <c r="AE145" s="148" t="s">
        <v>66</v>
      </c>
      <c r="AG145" s="144" t="s">
        <v>234</v>
      </c>
      <c r="AI145" s="148" t="s">
        <v>66</v>
      </c>
      <c r="AK145" s="144" t="s">
        <v>234</v>
      </c>
      <c r="AM145" s="148" t="s">
        <v>66</v>
      </c>
      <c r="AO145" s="144" t="s">
        <v>234</v>
      </c>
      <c r="AQ145" s="148" t="s">
        <v>66</v>
      </c>
      <c r="AS145" s="144" t="s">
        <v>234</v>
      </c>
      <c r="AU145" s="148" t="s">
        <v>66</v>
      </c>
      <c r="AW145" s="144" t="s">
        <v>234</v>
      </c>
    </row>
    <row r="146" spans="6:49" s="29" customFormat="1" ht="29.25" customHeight="1">
      <c r="F146"/>
      <c r="H146" s="144" t="s">
        <v>293</v>
      </c>
      <c r="J146" s="144" t="s">
        <v>300</v>
      </c>
      <c r="L146" s="166"/>
      <c r="M146" s="166"/>
      <c r="N146" s="166"/>
      <c r="O146" s="166"/>
      <c r="P146" s="166"/>
      <c r="Q146" s="166"/>
      <c r="R146" s="166"/>
      <c r="S146" s="38"/>
      <c r="W146" s="144" t="s">
        <v>293</v>
      </c>
      <c r="Y146" s="144" t="s">
        <v>300</v>
      </c>
      <c r="AA146" s="144" t="s">
        <v>293</v>
      </c>
      <c r="AC146" s="144" t="s">
        <v>300</v>
      </c>
      <c r="AE146" s="144" t="s">
        <v>293</v>
      </c>
      <c r="AG146" s="144" t="s">
        <v>300</v>
      </c>
      <c r="AI146" s="144" t="s">
        <v>293</v>
      </c>
      <c r="AK146" s="144" t="s">
        <v>300</v>
      </c>
      <c r="AM146" s="144" t="s">
        <v>293</v>
      </c>
      <c r="AO146" s="144" t="s">
        <v>300</v>
      </c>
      <c r="AQ146" s="144" t="s">
        <v>293</v>
      </c>
      <c r="AS146" s="144" t="s">
        <v>300</v>
      </c>
      <c r="AU146" s="144" t="s">
        <v>293</v>
      </c>
      <c r="AW146" s="144" t="s">
        <v>300</v>
      </c>
    </row>
    <row r="147" spans="6:49" s="29" customFormat="1" ht="39.75" customHeight="1">
      <c r="F147"/>
      <c r="H147" s="33"/>
      <c r="I147" s="749"/>
      <c r="J147" s="749"/>
      <c r="L147" s="166"/>
      <c r="N147" s="166"/>
      <c r="P147" s="166"/>
      <c r="R147" s="166"/>
      <c r="S147" s="166"/>
      <c r="W147" s="148" t="s">
        <v>80</v>
      </c>
      <c r="X147" s="749"/>
      <c r="Y147" s="749"/>
      <c r="AA147" s="148" t="s">
        <v>80</v>
      </c>
      <c r="AB147" s="749"/>
      <c r="AC147" s="749"/>
      <c r="AE147" s="148" t="s">
        <v>80</v>
      </c>
      <c r="AF147" s="749"/>
      <c r="AG147" s="749"/>
      <c r="AI147" s="148" t="s">
        <v>80</v>
      </c>
      <c r="AJ147" s="749"/>
      <c r="AK147" s="749"/>
      <c r="AM147" s="148" t="s">
        <v>80</v>
      </c>
      <c r="AN147" s="749"/>
      <c r="AO147" s="749"/>
      <c r="AQ147" s="148" t="s">
        <v>80</v>
      </c>
      <c r="AR147" s="749"/>
      <c r="AS147" s="749"/>
      <c r="AU147" s="148" t="s">
        <v>80</v>
      </c>
      <c r="AV147" s="749"/>
      <c r="AW147" s="749"/>
    </row>
    <row r="148" spans="6:19" s="29" customFormat="1" ht="18.75" customHeight="1">
      <c r="F148"/>
      <c r="L148" s="38"/>
      <c r="N148" s="38"/>
      <c r="P148" s="38"/>
      <c r="R148" s="38"/>
      <c r="S148" s="38"/>
    </row>
    <row r="149" spans="6:19" s="29" customFormat="1" ht="18.75" customHeight="1">
      <c r="F149"/>
      <c r="L149" s="166"/>
      <c r="N149" s="166"/>
      <c r="P149" s="166"/>
      <c r="R149" s="166"/>
      <c r="S149" s="166"/>
    </row>
    <row r="150" spans="6:19" s="29" customFormat="1" ht="18.75" customHeight="1">
      <c r="F150"/>
      <c r="L150" s="166"/>
      <c r="N150" s="166"/>
      <c r="P150" s="166"/>
      <c r="R150" s="166"/>
      <c r="S150" s="166"/>
    </row>
  </sheetData>
  <sheetProtection/>
  <mergeCells count="61">
    <mergeCell ref="Q19:Q20"/>
    <mergeCell ref="O18:P18"/>
    <mergeCell ref="O19:O20"/>
    <mergeCell ref="P19:P20"/>
    <mergeCell ref="M19:M20"/>
    <mergeCell ref="K19:K20"/>
    <mergeCell ref="AB147:AC147"/>
    <mergeCell ref="AJ147:AK147"/>
    <mergeCell ref="AD18:AD20"/>
    <mergeCell ref="AK19:AK20"/>
    <mergeCell ref="AC19:AC20"/>
    <mergeCell ref="AF147:AG147"/>
    <mergeCell ref="AE18:AE20"/>
    <mergeCell ref="V18:V20"/>
    <mergeCell ref="L19:L20"/>
    <mergeCell ref="AR147:AS147"/>
    <mergeCell ref="AN147:AO147"/>
    <mergeCell ref="AP18:AP20"/>
    <mergeCell ref="AO19:AO20"/>
    <mergeCell ref="AN18:AN20"/>
    <mergeCell ref="AL18:AL20"/>
    <mergeCell ref="AV147:AW147"/>
    <mergeCell ref="AW19:AW20"/>
    <mergeCell ref="AP6:AS6"/>
    <mergeCell ref="AS19:AS20"/>
    <mergeCell ref="AQ18:AQ20"/>
    <mergeCell ref="AR18:AR20"/>
    <mergeCell ref="AT6:AW6"/>
    <mergeCell ref="AU18:AU20"/>
    <mergeCell ref="AV18:AV20"/>
    <mergeCell ref="AT18:AT20"/>
    <mergeCell ref="J19:J20"/>
    <mergeCell ref="Q18:R18"/>
    <mergeCell ref="AL6:AO6"/>
    <mergeCell ref="AH6:AK6"/>
    <mergeCell ref="AI18:AI20"/>
    <mergeCell ref="AJ18:AJ20"/>
    <mergeCell ref="AH18:AH20"/>
    <mergeCell ref="AM18:AM20"/>
    <mergeCell ref="K18:L18"/>
    <mergeCell ref="M18:N18"/>
    <mergeCell ref="I147:J147"/>
    <mergeCell ref="AD6:AG6"/>
    <mergeCell ref="W18:W20"/>
    <mergeCell ref="X18:X20"/>
    <mergeCell ref="V6:Y6"/>
    <mergeCell ref="Z6:AC6"/>
    <mergeCell ref="AA18:AA20"/>
    <mergeCell ref="AB18:AB20"/>
    <mergeCell ref="X147:Y147"/>
    <mergeCell ref="G6:J6"/>
    <mergeCell ref="N19:N20"/>
    <mergeCell ref="R19:R20"/>
    <mergeCell ref="Z18:Z20"/>
    <mergeCell ref="AF18:AF20"/>
    <mergeCell ref="AG19:AG20"/>
    <mergeCell ref="G7:J7"/>
    <mergeCell ref="Y19:Y20"/>
    <mergeCell ref="G18:G20"/>
    <mergeCell ref="H18:H20"/>
    <mergeCell ref="I18:I20"/>
  </mergeCells>
  <printOptions/>
  <pageMargins left="0.75" right="0.3" top="0.45" bottom="0.45" header="0.17" footer="0.45"/>
  <pageSetup fitToHeight="2" horizontalDpi="600" verticalDpi="600" orientation="portrait" paperSize="9" scale="69" r:id="rId1"/>
  <rowBreaks count="2" manualBreakCount="2">
    <brk id="87" max="255" man="1"/>
    <brk id="147" max="255" man="1"/>
  </rowBreaks>
  <colBreaks count="7" manualBreakCount="7">
    <brk id="6" max="65535" man="1"/>
    <brk id="25" max="65535" man="1"/>
    <brk id="29" max="65535" man="1"/>
    <brk id="33" max="65535" man="1"/>
    <brk id="37" max="65535" man="1"/>
    <brk id="41" max="65535" man="1"/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V152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75390625" style="0" customWidth="1"/>
    <col min="2" max="2" width="49.375" style="0" customWidth="1"/>
    <col min="3" max="3" width="13.75390625" style="0" customWidth="1"/>
    <col min="4" max="4" width="13.375" style="0" customWidth="1"/>
    <col min="9" max="9" width="50.75390625" style="0" customWidth="1"/>
    <col min="10" max="10" width="12.25390625" style="0" bestFit="1" customWidth="1"/>
    <col min="17" max="17" width="50.75390625" style="0" customWidth="1"/>
    <col min="18" max="18" width="12.25390625" style="0" bestFit="1" customWidth="1"/>
    <col min="25" max="25" width="50.75390625" style="0" customWidth="1"/>
    <col min="26" max="26" width="12.25390625" style="0" bestFit="1" customWidth="1"/>
    <col min="33" max="33" width="50.75390625" style="0" customWidth="1"/>
    <col min="34" max="34" width="12.25390625" style="0" bestFit="1" customWidth="1"/>
    <col min="41" max="41" width="50.75390625" style="0" customWidth="1"/>
    <col min="42" max="42" width="12.25390625" style="0" bestFit="1" customWidth="1"/>
    <col min="43" max="43" width="9.875" style="0" customWidth="1"/>
    <col min="44" max="44" width="9.625" style="0" customWidth="1"/>
    <col min="45" max="45" width="10.25390625" style="0" customWidth="1"/>
    <col min="49" max="49" width="50.75390625" style="0" customWidth="1"/>
    <col min="50" max="50" width="12.25390625" style="0" bestFit="1" customWidth="1"/>
    <col min="51" max="52" width="9.75390625" style="0" customWidth="1"/>
    <col min="53" max="53" width="10.25390625" style="0" customWidth="1"/>
    <col min="57" max="57" width="50.75390625" style="0" customWidth="1"/>
    <col min="58" max="58" width="12.25390625" style="0" bestFit="1" customWidth="1"/>
    <col min="59" max="59" width="9.75390625" style="0" customWidth="1"/>
    <col min="60" max="60" width="9.25390625" style="0" customWidth="1"/>
    <col min="61" max="61" width="10.125" style="0" customWidth="1"/>
    <col min="65" max="65" width="50.75390625" style="0" customWidth="1"/>
    <col min="66" max="66" width="12.25390625" style="0" bestFit="1" customWidth="1"/>
    <col min="67" max="67" width="9.875" style="0" customWidth="1"/>
    <col min="68" max="68" width="9.375" style="0" customWidth="1"/>
    <col min="69" max="69" width="10.75390625" style="0" customWidth="1"/>
    <col min="73" max="73" width="50.75390625" style="0" customWidth="1"/>
    <col min="74" max="74" width="12.25390625" style="0" bestFit="1" customWidth="1"/>
    <col min="75" max="75" width="9.75390625" style="0" customWidth="1"/>
    <col min="76" max="76" width="10.25390625" style="0" bestFit="1" customWidth="1"/>
    <col min="77" max="77" width="10.25390625" style="0" customWidth="1"/>
    <col min="81" max="81" width="50.75390625" style="0" customWidth="1"/>
    <col min="82" max="82" width="12.25390625" style="0" bestFit="1" customWidth="1"/>
    <col min="85" max="85" width="10.625" style="0" customWidth="1"/>
    <col min="89" max="89" width="50.75390625" style="0" customWidth="1"/>
    <col min="90" max="90" width="12.25390625" style="0" bestFit="1" customWidth="1"/>
    <col min="97" max="97" width="50.75390625" style="0" customWidth="1"/>
    <col min="98" max="98" width="12.25390625" style="0" bestFit="1" customWidth="1"/>
    <col min="105" max="105" width="50.75390625" style="0" customWidth="1"/>
    <col min="106" max="106" width="12.25390625" style="0" bestFit="1" customWidth="1"/>
    <col min="107" max="108" width="10.25390625" style="0" customWidth="1"/>
    <col min="109" max="109" width="9.875" style="0" customWidth="1"/>
    <col min="113" max="113" width="50.75390625" style="0" customWidth="1"/>
    <col min="114" max="114" width="12.25390625" style="0" bestFit="1" customWidth="1"/>
    <col min="116" max="116" width="10.75390625" style="0" customWidth="1"/>
    <col min="117" max="117" width="0.12890625" style="0" customWidth="1"/>
    <col min="118" max="118" width="8.75390625" style="0" customWidth="1"/>
    <col min="119" max="119" width="17.125" style="0" customWidth="1"/>
    <col min="120" max="120" width="13.00390625" style="0" customWidth="1"/>
    <col min="121" max="121" width="47.375" style="0" customWidth="1"/>
    <col min="122" max="122" width="10.25390625" style="0" customWidth="1"/>
    <col min="125" max="125" width="9.75390625" style="0" customWidth="1"/>
  </cols>
  <sheetData>
    <row r="1" ht="18.75">
      <c r="D1" s="208" t="s">
        <v>294</v>
      </c>
    </row>
    <row r="2" ht="18.75">
      <c r="D2" s="208" t="s">
        <v>295</v>
      </c>
    </row>
    <row r="3" ht="18.75">
      <c r="D3" s="208" t="s">
        <v>296</v>
      </c>
    </row>
    <row r="4" ht="18.75">
      <c r="D4" s="208" t="s">
        <v>427</v>
      </c>
    </row>
    <row r="6" spans="1:4" ht="18.75">
      <c r="A6" s="746" t="s">
        <v>323</v>
      </c>
      <c r="B6" s="746"/>
      <c r="C6" s="746"/>
      <c r="D6" s="746"/>
    </row>
    <row r="7" spans="1:126" s="30" customFormat="1" ht="18.75">
      <c r="A7" s="746" t="s">
        <v>298</v>
      </c>
      <c r="B7" s="746"/>
      <c r="C7" s="746"/>
      <c r="D7" s="746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3" ht="12.75">
      <c r="B8" s="31"/>
      <c r="C8" s="31"/>
    </row>
    <row r="9" spans="2:3" ht="15">
      <c r="B9" s="61" t="s">
        <v>2</v>
      </c>
      <c r="C9" s="62">
        <f>D65+D72</f>
        <v>764</v>
      </c>
    </row>
    <row r="10" ht="12.75" hidden="1">
      <c r="B10" t="s">
        <v>3</v>
      </c>
    </row>
    <row r="11" ht="12.75" hidden="1">
      <c r="B11" t="s">
        <v>4</v>
      </c>
    </row>
    <row r="12" ht="12.75" hidden="1"/>
    <row r="13" spans="2:4" ht="15" hidden="1">
      <c r="B13" s="294" t="s">
        <v>306</v>
      </c>
      <c r="C13" s="281"/>
      <c r="D13" s="281"/>
    </row>
    <row r="14" spans="2:4" ht="14.25" hidden="1">
      <c r="B14" s="282"/>
      <c r="C14" s="283" t="s">
        <v>303</v>
      </c>
      <c r="D14" s="283" t="s">
        <v>304</v>
      </c>
    </row>
    <row r="15" spans="2:4" ht="12.75" hidden="1">
      <c r="B15" s="285" t="s">
        <v>305</v>
      </c>
      <c r="C15" s="286">
        <v>142031680.46</v>
      </c>
      <c r="D15" s="286">
        <v>139389494.4</v>
      </c>
    </row>
    <row r="16" spans="2:4" ht="12.75" hidden="1">
      <c r="B16" s="285" t="s">
        <v>309</v>
      </c>
      <c r="C16" s="286">
        <v>44462202.86</v>
      </c>
      <c r="D16" s="286">
        <v>43816047.33</v>
      </c>
    </row>
    <row r="17" ht="12.75" hidden="1"/>
    <row r="18" spans="1:4" ht="48" customHeight="1">
      <c r="A18" s="750" t="s">
        <v>6</v>
      </c>
      <c r="B18" s="753" t="s">
        <v>0</v>
      </c>
      <c r="C18" s="753" t="s">
        <v>76</v>
      </c>
      <c r="D18" s="36" t="s">
        <v>314</v>
      </c>
    </row>
    <row r="19" spans="1:4" ht="12.75" customHeight="1">
      <c r="A19" s="751"/>
      <c r="B19" s="753"/>
      <c r="C19" s="753"/>
      <c r="D19" s="754" t="s">
        <v>7</v>
      </c>
    </row>
    <row r="20" spans="1:4" ht="12.75" customHeight="1">
      <c r="A20" s="752"/>
      <c r="B20" s="753"/>
      <c r="C20" s="753"/>
      <c r="D20" s="754"/>
    </row>
    <row r="21" spans="1:4" ht="12.75">
      <c r="A21" s="20"/>
      <c r="B21" s="3" t="s">
        <v>9</v>
      </c>
      <c r="C21" s="11" t="s">
        <v>11</v>
      </c>
      <c r="D21" s="52">
        <f>'48'!D21+'49'!D21+'50'!J21+'51'!J21</f>
        <v>49</v>
      </c>
    </row>
    <row r="22" spans="1:4" ht="12.75">
      <c r="A22" s="20"/>
      <c r="B22" s="3" t="s">
        <v>12</v>
      </c>
      <c r="C22" s="11" t="s">
        <v>13</v>
      </c>
      <c r="D22" s="60">
        <f>'48'!D22+'49'!D22+'50'!J22+'51'!J22</f>
        <v>745.2017000000001</v>
      </c>
    </row>
    <row r="23" spans="1:4" ht="12.75">
      <c r="A23" s="20"/>
      <c r="B23" s="5" t="s">
        <v>14</v>
      </c>
      <c r="C23" s="11" t="s">
        <v>15</v>
      </c>
      <c r="D23" s="52">
        <f>'48'!D23+'49'!D23+'50'!J23+'51'!J23</f>
        <v>14472</v>
      </c>
    </row>
    <row r="24" spans="1:4" ht="15">
      <c r="A24" s="20"/>
      <c r="B24" s="56" t="s">
        <v>334</v>
      </c>
      <c r="C24" s="57" t="s">
        <v>17</v>
      </c>
      <c r="D24" s="58"/>
    </row>
    <row r="25" spans="1:4" ht="12.75">
      <c r="A25" s="20"/>
      <c r="B25" s="7" t="s">
        <v>18</v>
      </c>
      <c r="C25" s="11" t="s">
        <v>17</v>
      </c>
      <c r="D25" s="50"/>
    </row>
    <row r="26" spans="1:4" ht="12.75">
      <c r="A26" s="20"/>
      <c r="B26" s="3" t="s">
        <v>19</v>
      </c>
      <c r="C26" s="8"/>
      <c r="D26" s="1"/>
    </row>
    <row r="27" spans="1:4" ht="12.75">
      <c r="A27" s="20"/>
      <c r="B27" s="3"/>
      <c r="C27" s="8"/>
      <c r="D27" s="1"/>
    </row>
    <row r="28" spans="1:4" s="453" customFormat="1" ht="18.75">
      <c r="A28" s="560" t="s">
        <v>394</v>
      </c>
      <c r="B28" s="372" t="s">
        <v>333</v>
      </c>
      <c r="C28" s="449"/>
      <c r="D28" s="454"/>
    </row>
    <row r="29" spans="1:4" ht="13.5" customHeight="1">
      <c r="A29" s="83" t="s">
        <v>217</v>
      </c>
      <c r="B29" s="338" t="s">
        <v>322</v>
      </c>
      <c r="C29" s="85" t="s">
        <v>13</v>
      </c>
      <c r="D29" s="60">
        <f>'48'!D29+'49'!D29+'50'!J29+'51'!J29</f>
        <v>1.0665</v>
      </c>
    </row>
    <row r="30" spans="1:4" ht="16.5" customHeight="1">
      <c r="A30" s="83" t="s">
        <v>156</v>
      </c>
      <c r="B30" s="338" t="s">
        <v>337</v>
      </c>
      <c r="C30" s="85" t="s">
        <v>13</v>
      </c>
      <c r="D30" s="60">
        <f>'48'!D30+'49'!D30+'50'!J30+'51'!J30</f>
        <v>0.41300000000000003</v>
      </c>
    </row>
    <row r="31" spans="1:4" ht="19.5" customHeight="1" hidden="1">
      <c r="A31" s="131" t="s">
        <v>157</v>
      </c>
      <c r="B31" s="371" t="s">
        <v>152</v>
      </c>
      <c r="C31" s="279" t="s">
        <v>10</v>
      </c>
      <c r="D31" s="52">
        <f>'48'!D31+'49'!D31+'50'!J31+'51'!J31</f>
        <v>0</v>
      </c>
    </row>
    <row r="32" spans="1:4" ht="29.25" customHeight="1">
      <c r="A32" s="83" t="s">
        <v>158</v>
      </c>
      <c r="B32" s="356" t="s">
        <v>338</v>
      </c>
      <c r="C32" s="85" t="s">
        <v>23</v>
      </c>
      <c r="D32" s="52">
        <f>'48'!D32+'49'!D32+'50'!J32+'51'!J32</f>
        <v>764</v>
      </c>
    </row>
    <row r="33" spans="1:4" ht="15.75">
      <c r="A33" s="83" t="s">
        <v>159</v>
      </c>
      <c r="B33" s="84" t="s">
        <v>318</v>
      </c>
      <c r="C33" s="85" t="s">
        <v>25</v>
      </c>
      <c r="D33" s="52"/>
    </row>
    <row r="34" spans="1:4" ht="15.75">
      <c r="A34" s="83" t="s">
        <v>160</v>
      </c>
      <c r="B34" s="338" t="s">
        <v>21</v>
      </c>
      <c r="C34" s="85" t="s">
        <v>15</v>
      </c>
      <c r="D34" s="52">
        <f>'48'!D34+'49'!D34+'50'!J34+'51'!J34</f>
        <v>34</v>
      </c>
    </row>
    <row r="35" spans="1:4" ht="15.75">
      <c r="A35" s="83" t="s">
        <v>161</v>
      </c>
      <c r="B35" s="338" t="s">
        <v>339</v>
      </c>
      <c r="C35" s="85" t="s">
        <v>22</v>
      </c>
      <c r="D35" s="60">
        <f>'48'!D35+'49'!D35+'50'!J35+'51'!J35</f>
        <v>8.14199</v>
      </c>
    </row>
    <row r="36" spans="1:4" ht="15.75">
      <c r="A36" s="83" t="s">
        <v>162</v>
      </c>
      <c r="B36" s="338" t="s">
        <v>335</v>
      </c>
      <c r="C36" s="85" t="s">
        <v>13</v>
      </c>
      <c r="D36" s="60">
        <f>'48'!D36+'49'!D36+'50'!J36+'51'!J36</f>
        <v>0</v>
      </c>
    </row>
    <row r="37" spans="1:4" ht="15" customHeight="1" hidden="1">
      <c r="A37" s="83" t="s">
        <v>163</v>
      </c>
      <c r="B37" s="338" t="s">
        <v>208</v>
      </c>
      <c r="C37" s="85" t="s">
        <v>13</v>
      </c>
      <c r="D37" s="375">
        <f>'48'!D37+'49'!D37+'50'!J37+'51'!J37</f>
        <v>0</v>
      </c>
    </row>
    <row r="38" spans="1:4" ht="15.75">
      <c r="A38" s="83" t="s">
        <v>88</v>
      </c>
      <c r="B38" s="338" t="s">
        <v>209</v>
      </c>
      <c r="C38" s="85" t="s">
        <v>23</v>
      </c>
      <c r="D38" s="52">
        <f>'48'!D38+'49'!D38+'50'!J38+'51'!J38</f>
        <v>42</v>
      </c>
    </row>
    <row r="39" spans="1:4" ht="15.75">
      <c r="A39" s="83" t="s">
        <v>164</v>
      </c>
      <c r="B39" s="338" t="s">
        <v>24</v>
      </c>
      <c r="C39" s="85" t="s">
        <v>13</v>
      </c>
      <c r="D39" s="60">
        <f>'48'!D39+'49'!D39+'50'!J39+'51'!J39</f>
        <v>0.23</v>
      </c>
    </row>
    <row r="40" spans="1:4" ht="15.75">
      <c r="A40" s="83" t="s">
        <v>165</v>
      </c>
      <c r="B40" s="338" t="s">
        <v>327</v>
      </c>
      <c r="C40" s="339" t="s">
        <v>13</v>
      </c>
      <c r="D40" s="60">
        <f>'48'!D40+'49'!D40+'50'!J40+'51'!J40</f>
        <v>1.3985</v>
      </c>
    </row>
    <row r="41" spans="1:4" s="69" customFormat="1" ht="15.75">
      <c r="A41" s="83" t="s">
        <v>166</v>
      </c>
      <c r="B41" s="338" t="s">
        <v>328</v>
      </c>
      <c r="C41" s="339" t="s">
        <v>13</v>
      </c>
      <c r="D41" s="60">
        <f>'48'!D41+'49'!D41+'50'!J41+'51'!J41</f>
        <v>5.763</v>
      </c>
    </row>
    <row r="42" spans="1:4" ht="15.75">
      <c r="A42" s="141" t="s">
        <v>167</v>
      </c>
      <c r="B42" s="368" t="s">
        <v>329</v>
      </c>
      <c r="C42" s="363" t="s">
        <v>13</v>
      </c>
      <c r="D42" s="60">
        <f>'48'!D42+'49'!D42+'50'!J42+'51'!J42</f>
        <v>0.7709999999999999</v>
      </c>
    </row>
    <row r="43" spans="1:4" ht="15.75">
      <c r="A43" s="83" t="s">
        <v>168</v>
      </c>
      <c r="B43" s="338" t="s">
        <v>74</v>
      </c>
      <c r="C43" s="85" t="s">
        <v>13</v>
      </c>
      <c r="D43" s="60">
        <f>'48'!D43+'49'!D43+'50'!J43+'51'!J43</f>
        <v>0.344</v>
      </c>
    </row>
    <row r="44" spans="1:4" ht="15.75">
      <c r="A44" s="83" t="s">
        <v>169</v>
      </c>
      <c r="B44" s="84" t="s">
        <v>331</v>
      </c>
      <c r="C44" s="85" t="s">
        <v>10</v>
      </c>
      <c r="D44" s="52">
        <f>'48'!D44+'49'!D44+'50'!J44+'51'!J44</f>
        <v>76</v>
      </c>
    </row>
    <row r="45" spans="1:4" ht="15.75">
      <c r="A45" s="83" t="s">
        <v>170</v>
      </c>
      <c r="B45" s="84" t="s">
        <v>330</v>
      </c>
      <c r="C45" s="85" t="s">
        <v>10</v>
      </c>
      <c r="D45" s="52">
        <f>'48'!D45+'49'!D45+'50'!J45+'51'!J45</f>
        <v>14</v>
      </c>
    </row>
    <row r="46" spans="1:4" ht="15.75">
      <c r="A46" s="83" t="s">
        <v>171</v>
      </c>
      <c r="B46" s="84" t="s">
        <v>340</v>
      </c>
      <c r="C46" s="85" t="s">
        <v>10</v>
      </c>
      <c r="D46" s="52">
        <f>'48'!D46+'49'!D46+'50'!J46+'51'!J46</f>
        <v>264</v>
      </c>
    </row>
    <row r="47" spans="1:4" ht="15.75">
      <c r="A47" s="83" t="s">
        <v>172</v>
      </c>
      <c r="B47" s="84" t="s">
        <v>332</v>
      </c>
      <c r="C47" s="85" t="s">
        <v>10</v>
      </c>
      <c r="D47" s="52">
        <f>'48'!D47+'49'!D47+'50'!J47+'51'!J47</f>
        <v>92</v>
      </c>
    </row>
    <row r="48" spans="1:4" ht="15.75">
      <c r="A48" s="83" t="s">
        <v>89</v>
      </c>
      <c r="B48" s="338" t="s">
        <v>26</v>
      </c>
      <c r="C48" s="85" t="s">
        <v>25</v>
      </c>
      <c r="D48" s="60"/>
    </row>
    <row r="49" spans="1:4" s="289" customFormat="1" ht="15" customHeight="1" hidden="1">
      <c r="A49" s="131" t="s">
        <v>173</v>
      </c>
      <c r="B49" s="371" t="s">
        <v>140</v>
      </c>
      <c r="C49" s="128" t="s">
        <v>256</v>
      </c>
      <c r="D49" s="60"/>
    </row>
    <row r="50" spans="1:4" ht="15.75" hidden="1">
      <c r="A50" s="131" t="s">
        <v>174</v>
      </c>
      <c r="B50" s="371" t="s">
        <v>141</v>
      </c>
      <c r="C50" s="85" t="s">
        <v>15</v>
      </c>
      <c r="D50" s="60"/>
    </row>
    <row r="51" spans="1:4" ht="18.75">
      <c r="A51" s="39"/>
      <c r="B51" s="644" t="s">
        <v>216</v>
      </c>
      <c r="C51" s="590"/>
      <c r="D51" s="236"/>
    </row>
    <row r="52" spans="1:4" s="235" customFormat="1" ht="18.75">
      <c r="A52" s="397" t="s">
        <v>156</v>
      </c>
      <c r="B52" s="372" t="s">
        <v>44</v>
      </c>
      <c r="C52" s="398"/>
      <c r="D52" s="231"/>
    </row>
    <row r="53" spans="1:4" s="572" customFormat="1" ht="15" customHeight="1">
      <c r="A53" s="143" t="s">
        <v>173</v>
      </c>
      <c r="B53" s="645" t="s">
        <v>251</v>
      </c>
      <c r="C53" s="343" t="s">
        <v>10</v>
      </c>
      <c r="D53" s="505">
        <f>'48'!D53+'49'!D53+'50'!J53+'51'!J53</f>
        <v>248</v>
      </c>
    </row>
    <row r="54" spans="1:4" ht="12.75">
      <c r="A54" s="20" t="s">
        <v>174</v>
      </c>
      <c r="B54" s="3" t="s">
        <v>45</v>
      </c>
      <c r="C54" s="11" t="s">
        <v>20</v>
      </c>
      <c r="D54" s="52">
        <f>'48'!D54+'49'!D54+'50'!J54+'51'!J54</f>
        <v>82</v>
      </c>
    </row>
    <row r="55" spans="1:4" ht="12.75">
      <c r="A55" s="20" t="s">
        <v>175</v>
      </c>
      <c r="B55" s="3" t="s">
        <v>145</v>
      </c>
      <c r="C55" s="11" t="s">
        <v>20</v>
      </c>
      <c r="D55" s="52">
        <f>'48'!D55+'49'!D55+'50'!J55+'51'!J55</f>
        <v>60</v>
      </c>
    </row>
    <row r="56" spans="1:4" ht="12.75" hidden="1">
      <c r="A56" s="20" t="s">
        <v>173</v>
      </c>
      <c r="B56" s="3" t="s">
        <v>207</v>
      </c>
      <c r="C56" s="11" t="s">
        <v>10</v>
      </c>
      <c r="D56" s="52">
        <f>'48'!D56+'49'!D56+'50'!J56+'51'!J56</f>
        <v>0</v>
      </c>
    </row>
    <row r="57" spans="1:4" ht="12.75">
      <c r="A57" s="20" t="s">
        <v>176</v>
      </c>
      <c r="B57" s="3" t="s">
        <v>46</v>
      </c>
      <c r="C57" s="11" t="s">
        <v>13</v>
      </c>
      <c r="D57" s="60">
        <f>'48'!D57+'49'!D57+'50'!J57+'51'!J57</f>
        <v>0.41400000000000003</v>
      </c>
    </row>
    <row r="58" spans="1:4" ht="12.75">
      <c r="A58" s="20" t="s">
        <v>177</v>
      </c>
      <c r="B58" s="3" t="s">
        <v>38</v>
      </c>
      <c r="C58" s="11" t="s">
        <v>10</v>
      </c>
      <c r="D58" s="52">
        <f>'48'!D58+'49'!D58+'50'!J58+'51'!J58</f>
        <v>7</v>
      </c>
    </row>
    <row r="59" spans="1:4" ht="12.75">
      <c r="A59" s="143" t="s">
        <v>178</v>
      </c>
      <c r="B59" s="3" t="s">
        <v>351</v>
      </c>
      <c r="C59" s="11" t="s">
        <v>10</v>
      </c>
      <c r="D59" s="52">
        <f>'48'!D59+'49'!D59+'50'!J59+'51'!J59</f>
        <v>183</v>
      </c>
    </row>
    <row r="60" spans="1:4" ht="12.75">
      <c r="A60" s="20" t="s">
        <v>142</v>
      </c>
      <c r="B60" s="3" t="s">
        <v>40</v>
      </c>
      <c r="C60" s="11" t="s">
        <v>20</v>
      </c>
      <c r="D60" s="52">
        <f>'48'!D60+'49'!D60+'50'!J60+'51'!J60</f>
        <v>143</v>
      </c>
    </row>
    <row r="61" spans="1:4" ht="12.75">
      <c r="A61" s="20" t="s">
        <v>143</v>
      </c>
      <c r="B61" s="3" t="s">
        <v>71</v>
      </c>
      <c r="C61" s="11" t="s">
        <v>20</v>
      </c>
      <c r="D61" s="52">
        <f>'48'!D61+'49'!D61+'50'!J61+'51'!J61</f>
        <v>1</v>
      </c>
    </row>
    <row r="62" spans="1:4" ht="15.75">
      <c r="A62" s="20" t="s">
        <v>144</v>
      </c>
      <c r="B62" s="110" t="s">
        <v>381</v>
      </c>
      <c r="C62" s="11" t="s">
        <v>23</v>
      </c>
      <c r="D62" s="52">
        <f>'48'!D62+'49'!D62+'50'!J62+'51'!J62</f>
        <v>27</v>
      </c>
    </row>
    <row r="63" spans="1:4" ht="16.5">
      <c r="A63" s="39"/>
      <c r="B63" s="641" t="s">
        <v>216</v>
      </c>
      <c r="C63" s="646"/>
      <c r="D63" s="647"/>
    </row>
    <row r="64" spans="1:4" s="453" customFormat="1" ht="18.75">
      <c r="A64" s="448"/>
      <c r="B64" s="372" t="s">
        <v>47</v>
      </c>
      <c r="C64" s="449"/>
      <c r="D64" s="454"/>
    </row>
    <row r="65" spans="1:4" s="468" customFormat="1" ht="21" customHeight="1">
      <c r="A65" s="425" t="s">
        <v>157</v>
      </c>
      <c r="B65" s="648" t="s">
        <v>382</v>
      </c>
      <c r="C65" s="649" t="s">
        <v>23</v>
      </c>
      <c r="D65" s="652">
        <f>D66</f>
        <v>75</v>
      </c>
    </row>
    <row r="66" spans="1:4" s="169" customFormat="1" ht="12.75">
      <c r="A66" s="20" t="s">
        <v>179</v>
      </c>
      <c r="B66" s="5" t="s">
        <v>363</v>
      </c>
      <c r="C66" s="369" t="s">
        <v>215</v>
      </c>
      <c r="D66" s="501">
        <f>'48'!D66+'49'!D66+'50'!J66+'51'!J66</f>
        <v>75</v>
      </c>
    </row>
    <row r="67" spans="1:4" ht="12.75">
      <c r="A67" s="20" t="s">
        <v>180</v>
      </c>
      <c r="B67" s="5" t="s">
        <v>48</v>
      </c>
      <c r="C67" s="11" t="s">
        <v>20</v>
      </c>
      <c r="D67" s="678">
        <f>'48'!D67+'49'!D67+'50'!J67+'51'!J67</f>
        <v>135</v>
      </c>
    </row>
    <row r="68" spans="1:4" ht="15" customHeight="1">
      <c r="A68" s="20" t="s">
        <v>181</v>
      </c>
      <c r="B68" s="5" t="s">
        <v>353</v>
      </c>
      <c r="C68" s="11" t="s">
        <v>20</v>
      </c>
      <c r="D68" s="678">
        <f>'48'!D68+'49'!D68+'50'!J68+'51'!J68</f>
        <v>36</v>
      </c>
    </row>
    <row r="69" spans="1:4" ht="12.75">
      <c r="A69" s="20" t="s">
        <v>182</v>
      </c>
      <c r="B69" s="3" t="s">
        <v>49</v>
      </c>
      <c r="C69" s="11" t="s">
        <v>10</v>
      </c>
      <c r="D69" s="678">
        <f>'48'!D69+'49'!D69+'50'!J69+'51'!J69</f>
        <v>960</v>
      </c>
    </row>
    <row r="70" spans="1:4" ht="12.75">
      <c r="A70" s="20" t="s">
        <v>183</v>
      </c>
      <c r="B70" s="3" t="s">
        <v>38</v>
      </c>
      <c r="C70" s="11" t="s">
        <v>10</v>
      </c>
      <c r="D70" s="678">
        <f>'48'!D70+'49'!D70+'50'!J70+'51'!J70</f>
        <v>48</v>
      </c>
    </row>
    <row r="71" spans="1:4" ht="12.75">
      <c r="A71" s="20" t="s">
        <v>184</v>
      </c>
      <c r="B71" s="3" t="s">
        <v>45</v>
      </c>
      <c r="C71" s="11" t="s">
        <v>20</v>
      </c>
      <c r="D71" s="678">
        <f>'48'!D71+'49'!D71+'50'!J71+'51'!J71</f>
        <v>232</v>
      </c>
    </row>
    <row r="72" spans="1:4" s="487" customFormat="1" ht="17.25" customHeight="1">
      <c r="A72" s="482" t="s">
        <v>158</v>
      </c>
      <c r="B72" s="648" t="s">
        <v>387</v>
      </c>
      <c r="C72" s="483" t="s">
        <v>23</v>
      </c>
      <c r="D72" s="484">
        <f>'48'!D72+'49'!D72+'50'!J72+'51'!J72</f>
        <v>689</v>
      </c>
    </row>
    <row r="73" spans="1:4" s="169" customFormat="1" ht="16.5" customHeight="1">
      <c r="A73" s="83" t="s">
        <v>185</v>
      </c>
      <c r="B73" s="5" t="s">
        <v>364</v>
      </c>
      <c r="C73" s="11" t="s">
        <v>212</v>
      </c>
      <c r="D73" s="501">
        <f>'48'!D73+'49'!D73+'50'!J73+'51'!J73</f>
        <v>1217</v>
      </c>
    </row>
    <row r="74" spans="1:4" ht="12.75">
      <c r="A74" s="20" t="s">
        <v>186</v>
      </c>
      <c r="B74" s="5" t="s">
        <v>366</v>
      </c>
      <c r="C74" s="11" t="s">
        <v>367</v>
      </c>
      <c r="D74" s="390">
        <f>'48'!D74+'49'!D74+'50'!J74+'51'!J74</f>
        <v>600.01</v>
      </c>
    </row>
    <row r="75" spans="1:4" ht="12.75">
      <c r="A75" s="20" t="s">
        <v>187</v>
      </c>
      <c r="B75" s="5" t="s">
        <v>368</v>
      </c>
      <c r="C75" s="11" t="s">
        <v>212</v>
      </c>
      <c r="D75" s="390">
        <f>'48'!D75+'49'!D75+'50'!J75+'51'!J75</f>
        <v>404.001</v>
      </c>
    </row>
    <row r="76" spans="1:4" ht="12.75">
      <c r="A76" s="143" t="s">
        <v>188</v>
      </c>
      <c r="B76" s="5" t="s">
        <v>36</v>
      </c>
      <c r="C76" s="11" t="s">
        <v>20</v>
      </c>
      <c r="D76" s="390">
        <f>'48'!D76+'49'!D76+'50'!J76+'51'!J76</f>
        <v>285</v>
      </c>
    </row>
    <row r="77" spans="1:4" ht="12.75">
      <c r="A77" s="143" t="s">
        <v>189</v>
      </c>
      <c r="B77" s="5" t="s">
        <v>351</v>
      </c>
      <c r="C77" s="11" t="s">
        <v>10</v>
      </c>
      <c r="D77" s="390">
        <f>'48'!D77+'49'!D77+'50'!J77+'51'!J77</f>
        <v>214</v>
      </c>
    </row>
    <row r="78" spans="1:4" ht="12.75">
      <c r="A78" s="143" t="s">
        <v>190</v>
      </c>
      <c r="B78" s="5" t="s">
        <v>369</v>
      </c>
      <c r="C78" s="11" t="s">
        <v>10</v>
      </c>
      <c r="D78" s="390">
        <f>'48'!D78+'49'!D78+'50'!J78+'51'!J78</f>
        <v>342</v>
      </c>
    </row>
    <row r="79" spans="1:4" ht="12.75">
      <c r="A79" s="143" t="s">
        <v>191</v>
      </c>
      <c r="B79" s="3" t="s">
        <v>344</v>
      </c>
      <c r="C79" s="11" t="s">
        <v>10</v>
      </c>
      <c r="D79" s="390">
        <f>'48'!D79+'49'!D79+'50'!J79+'51'!J79</f>
        <v>225</v>
      </c>
    </row>
    <row r="80" spans="1:4" ht="12.75">
      <c r="A80" s="143" t="s">
        <v>192</v>
      </c>
      <c r="B80" s="3" t="s">
        <v>48</v>
      </c>
      <c r="C80" s="11"/>
      <c r="D80" s="390">
        <f>'48'!D80+'49'!D80+'50'!J80+'51'!J80</f>
        <v>71</v>
      </c>
    </row>
    <row r="81" spans="1:4" ht="12.75">
      <c r="A81" s="20" t="s">
        <v>193</v>
      </c>
      <c r="B81" s="3" t="s">
        <v>49</v>
      </c>
      <c r="C81" s="11" t="s">
        <v>10</v>
      </c>
      <c r="D81" s="390">
        <f>'48'!D81+'49'!D81+'50'!J81+'51'!J81</f>
        <v>36</v>
      </c>
    </row>
    <row r="82" spans="1:4" s="235" customFormat="1" ht="18.75">
      <c r="A82" s="594" t="s">
        <v>159</v>
      </c>
      <c r="B82" s="372" t="s">
        <v>370</v>
      </c>
      <c r="C82" s="398"/>
      <c r="D82" s="229"/>
    </row>
    <row r="83" spans="1:4" s="169" customFormat="1" ht="12.75">
      <c r="A83" s="20" t="s">
        <v>395</v>
      </c>
      <c r="B83" s="3" t="s">
        <v>69</v>
      </c>
      <c r="C83" s="11" t="s">
        <v>10</v>
      </c>
      <c r="D83" s="501">
        <f>'48'!D83+'49'!D83+'50'!J83+'51'!J83</f>
        <v>83</v>
      </c>
    </row>
    <row r="84" spans="1:4" ht="12.75">
      <c r="A84" s="20" t="s">
        <v>396</v>
      </c>
      <c r="B84" s="3" t="s">
        <v>343</v>
      </c>
      <c r="C84" s="11" t="s">
        <v>10</v>
      </c>
      <c r="D84" s="390">
        <f>'48'!D84+'49'!D84+'50'!J84+'51'!J84</f>
        <v>66</v>
      </c>
    </row>
    <row r="85" spans="1:4" ht="12.75">
      <c r="A85" s="20" t="s">
        <v>397</v>
      </c>
      <c r="B85" s="3" t="s">
        <v>214</v>
      </c>
      <c r="C85" s="11" t="s">
        <v>23</v>
      </c>
      <c r="D85" s="390">
        <f>'48'!D85+'49'!D85+'50'!J85+'51'!J85</f>
        <v>21</v>
      </c>
    </row>
    <row r="86" spans="1:4" ht="12.75">
      <c r="A86" s="20" t="s">
        <v>398</v>
      </c>
      <c r="B86" s="3" t="s">
        <v>355</v>
      </c>
      <c r="C86" s="11" t="s">
        <v>20</v>
      </c>
      <c r="D86" s="390">
        <f>'48'!D86+'49'!D86+'50'!J86+'51'!J86</f>
        <v>43</v>
      </c>
    </row>
    <row r="87" spans="1:4" ht="16.5">
      <c r="A87" s="39"/>
      <c r="B87" s="641" t="s">
        <v>216</v>
      </c>
      <c r="C87" s="642"/>
      <c r="D87" s="643"/>
    </row>
    <row r="88" spans="1:4" s="401" customFormat="1" ht="18.75">
      <c r="A88" s="397" t="s">
        <v>160</v>
      </c>
      <c r="B88" s="372" t="s">
        <v>375</v>
      </c>
      <c r="C88" s="398"/>
      <c r="D88" s="231"/>
    </row>
    <row r="89" spans="1:4" ht="15.75">
      <c r="A89" s="20" t="s">
        <v>218</v>
      </c>
      <c r="B89" s="84" t="s">
        <v>388</v>
      </c>
      <c r="C89" s="11" t="s">
        <v>25</v>
      </c>
      <c r="D89" s="60"/>
    </row>
    <row r="90" spans="1:4" ht="12.75">
      <c r="A90" s="20" t="s">
        <v>399</v>
      </c>
      <c r="B90" s="3" t="s">
        <v>139</v>
      </c>
      <c r="C90" s="11" t="s">
        <v>28</v>
      </c>
      <c r="D90" s="60">
        <f>'48'!D90+'49'!D90+'50'!J90+'51'!J90</f>
        <v>0.454</v>
      </c>
    </row>
    <row r="91" spans="1:4" ht="15" customHeight="1">
      <c r="A91" s="20" t="s">
        <v>400</v>
      </c>
      <c r="B91" s="3" t="s">
        <v>73</v>
      </c>
      <c r="C91" s="11" t="s">
        <v>345</v>
      </c>
      <c r="D91" s="52">
        <f>'48'!D91+'49'!D91+'50'!J91+'51'!J91</f>
        <v>78.8</v>
      </c>
    </row>
    <row r="92" spans="1:4" ht="12.75">
      <c r="A92" s="20" t="s">
        <v>219</v>
      </c>
      <c r="B92" s="3" t="s">
        <v>67</v>
      </c>
      <c r="C92" s="11" t="s">
        <v>13</v>
      </c>
      <c r="D92" s="60">
        <f>'48'!D92+'49'!D92+'50'!J92+'51'!J92</f>
        <v>0.097</v>
      </c>
    </row>
    <row r="93" spans="1:4" ht="15" customHeight="1">
      <c r="A93" s="20" t="s">
        <v>401</v>
      </c>
      <c r="B93" s="3" t="s">
        <v>68</v>
      </c>
      <c r="C93" s="11" t="s">
        <v>10</v>
      </c>
      <c r="D93" s="52">
        <f>'48'!D93+'49'!D93+'50'!J93+'51'!J93</f>
        <v>25</v>
      </c>
    </row>
    <row r="94" spans="1:4" ht="12.75">
      <c r="A94" s="20" t="s">
        <v>402</v>
      </c>
      <c r="B94" s="3" t="s">
        <v>50</v>
      </c>
      <c r="C94" s="11" t="s">
        <v>25</v>
      </c>
      <c r="D94" s="52">
        <f>'48'!D94+'49'!D94+'50'!J94+'51'!J94</f>
        <v>0</v>
      </c>
    </row>
    <row r="95" spans="1:4" ht="12.75">
      <c r="A95" s="20" t="s">
        <v>403</v>
      </c>
      <c r="B95" s="3" t="s">
        <v>51</v>
      </c>
      <c r="C95" s="11" t="s">
        <v>25</v>
      </c>
      <c r="D95" s="52">
        <f>'48'!D95+'49'!D95+'50'!J95+'51'!J95</f>
        <v>0</v>
      </c>
    </row>
    <row r="96" spans="1:4" ht="12.75">
      <c r="A96" s="20" t="s">
        <v>404</v>
      </c>
      <c r="B96" s="3" t="s">
        <v>53</v>
      </c>
      <c r="C96" s="11" t="s">
        <v>70</v>
      </c>
      <c r="D96" s="52">
        <f>'48'!D96+'49'!D96+'50'!J96+'51'!J96</f>
        <v>208.53</v>
      </c>
    </row>
    <row r="97" spans="1:4" ht="12.75">
      <c r="A97" s="20" t="s">
        <v>405</v>
      </c>
      <c r="B97" s="3" t="s">
        <v>54</v>
      </c>
      <c r="C97" s="11" t="s">
        <v>20</v>
      </c>
      <c r="D97" s="52">
        <f>'48'!D97+'49'!D97+'50'!J97+'51'!J97</f>
        <v>483</v>
      </c>
    </row>
    <row r="98" spans="1:4" ht="12.75">
      <c r="A98" s="20" t="s">
        <v>406</v>
      </c>
      <c r="B98" s="3" t="s">
        <v>56</v>
      </c>
      <c r="C98" s="11" t="s">
        <v>20</v>
      </c>
      <c r="D98" s="52">
        <f>'48'!D98+'49'!D98+'50'!J98+'51'!J98</f>
        <v>48</v>
      </c>
    </row>
    <row r="99" spans="1:4" ht="15" customHeight="1">
      <c r="A99" s="20" t="s">
        <v>407</v>
      </c>
      <c r="B99" s="370" t="s">
        <v>373</v>
      </c>
      <c r="C99" s="11" t="s">
        <v>25</v>
      </c>
      <c r="D99" s="52">
        <f>'48'!D99+'49'!D99+'50'!J99+'51'!J99</f>
        <v>0</v>
      </c>
    </row>
    <row r="100" spans="1:4" ht="12.75">
      <c r="A100" s="20" t="s">
        <v>161</v>
      </c>
      <c r="B100" s="3" t="s">
        <v>374</v>
      </c>
      <c r="C100" s="11" t="s">
        <v>20</v>
      </c>
      <c r="D100" s="52">
        <f>'48'!D100+'49'!D100+'50'!J100+'51'!J100</f>
        <v>2</v>
      </c>
    </row>
    <row r="101" spans="1:4" ht="12.75">
      <c r="A101" s="20" t="s">
        <v>408</v>
      </c>
      <c r="B101" s="3" t="s">
        <v>259</v>
      </c>
      <c r="C101" s="11" t="s">
        <v>25</v>
      </c>
      <c r="D101" s="60"/>
    </row>
    <row r="102" spans="1:4" ht="18.75">
      <c r="A102" s="39"/>
      <c r="B102" s="644" t="s">
        <v>216</v>
      </c>
      <c r="C102" s="590"/>
      <c r="D102" s="236"/>
    </row>
    <row r="103" spans="1:4" s="235" customFormat="1" ht="18.75">
      <c r="A103" s="397" t="s">
        <v>409</v>
      </c>
      <c r="B103" s="372" t="s">
        <v>29</v>
      </c>
      <c r="C103" s="398"/>
      <c r="D103" s="231"/>
    </row>
    <row r="104" spans="1:4" s="556" customFormat="1" ht="18.75">
      <c r="A104" s="448" t="s">
        <v>220</v>
      </c>
      <c r="B104" s="555" t="s">
        <v>261</v>
      </c>
      <c r="C104" s="554" t="s">
        <v>28</v>
      </c>
      <c r="D104" s="579">
        <f>'48'!D104+'49'!D104+'50'!J104+'51'!J104</f>
        <v>4.34095</v>
      </c>
    </row>
    <row r="105" spans="1:4" ht="12.75">
      <c r="A105" s="20" t="s">
        <v>194</v>
      </c>
      <c r="B105" s="3" t="s">
        <v>349</v>
      </c>
      <c r="C105" s="11" t="s">
        <v>22</v>
      </c>
      <c r="D105" s="60">
        <f>'48'!D105+'49'!D105+'50'!J105+'51'!J105</f>
        <v>3.6074100000000002</v>
      </c>
    </row>
    <row r="106" spans="1:4" ht="12.75">
      <c r="A106" s="20" t="s">
        <v>195</v>
      </c>
      <c r="B106" s="3" t="s">
        <v>350</v>
      </c>
      <c r="C106" s="11" t="s">
        <v>22</v>
      </c>
      <c r="D106" s="60">
        <f>'48'!D106+'49'!D106+'50'!J106+'51'!J106</f>
        <v>0.7335400000000001</v>
      </c>
    </row>
    <row r="107" spans="1:4" ht="12.75">
      <c r="A107" s="20" t="s">
        <v>196</v>
      </c>
      <c r="B107" s="3" t="s">
        <v>262</v>
      </c>
      <c r="C107" s="66" t="s">
        <v>11</v>
      </c>
      <c r="D107" s="52">
        <f>'48'!D107+'49'!D107+'50'!J107+'51'!J107</f>
        <v>49</v>
      </c>
    </row>
    <row r="108" spans="1:4" ht="12.75">
      <c r="A108" s="20" t="s">
        <v>197</v>
      </c>
      <c r="B108" s="3" t="s">
        <v>35</v>
      </c>
      <c r="C108" s="11" t="s">
        <v>28</v>
      </c>
      <c r="D108" s="60">
        <f>'48'!D108+'49'!D108+'50'!J108+'51'!J108</f>
        <v>0.8540000000000001</v>
      </c>
    </row>
    <row r="109" spans="1:4" ht="15" customHeight="1" hidden="1">
      <c r="A109" s="20" t="s">
        <v>198</v>
      </c>
      <c r="B109" s="3" t="s">
        <v>37</v>
      </c>
      <c r="C109" s="11" t="s">
        <v>28</v>
      </c>
      <c r="D109" s="60">
        <f>'48'!D109+'49'!D109+'50'!J109+'51'!J109</f>
        <v>0</v>
      </c>
    </row>
    <row r="110" spans="1:4" ht="15" customHeight="1">
      <c r="A110" s="20" t="s">
        <v>198</v>
      </c>
      <c r="B110" s="3" t="s">
        <v>336</v>
      </c>
      <c r="C110" s="11" t="s">
        <v>25</v>
      </c>
      <c r="D110" s="60"/>
    </row>
    <row r="111" spans="1:4" ht="15" customHeight="1" hidden="1">
      <c r="A111" s="20"/>
      <c r="B111" s="3"/>
      <c r="C111" s="11"/>
      <c r="D111" s="60"/>
    </row>
    <row r="112" spans="1:4" ht="12.75">
      <c r="A112" s="20" t="s">
        <v>359</v>
      </c>
      <c r="B112" s="3" t="s">
        <v>30</v>
      </c>
      <c r="C112" s="11" t="s">
        <v>25</v>
      </c>
      <c r="D112" s="60"/>
    </row>
    <row r="113" spans="1:4" ht="12.75">
      <c r="A113" s="39"/>
      <c r="B113" s="41" t="s">
        <v>216</v>
      </c>
      <c r="C113" s="43"/>
      <c r="D113" s="40"/>
    </row>
    <row r="114" spans="1:4" s="235" customFormat="1" ht="18.75">
      <c r="A114" s="397" t="s">
        <v>410</v>
      </c>
      <c r="B114" s="372" t="s">
        <v>32</v>
      </c>
      <c r="C114" s="398"/>
      <c r="D114" s="231"/>
    </row>
    <row r="115" spans="1:4" s="266" customFormat="1" ht="18.75">
      <c r="A115" s="448" t="s">
        <v>221</v>
      </c>
      <c r="B115" s="93" t="s">
        <v>260</v>
      </c>
      <c r="C115" s="562" t="s">
        <v>28</v>
      </c>
      <c r="D115" s="570">
        <f>'48'!D115+'49'!D115+'50'!J115+'51'!J115</f>
        <v>7.0080262</v>
      </c>
    </row>
    <row r="116" spans="1:4" ht="12.75" hidden="1">
      <c r="A116" s="20" t="s">
        <v>81</v>
      </c>
      <c r="B116" s="3" t="s">
        <v>254</v>
      </c>
      <c r="C116" s="11" t="s">
        <v>20</v>
      </c>
      <c r="D116" s="60">
        <f>'48'!D116+'49'!D116+'50'!J116+'51'!J116</f>
        <v>6.006136199999999</v>
      </c>
    </row>
    <row r="117" spans="1:4" ht="12.75" hidden="1">
      <c r="A117" s="20" t="s">
        <v>82</v>
      </c>
      <c r="B117" s="3" t="s">
        <v>255</v>
      </c>
      <c r="C117" s="11" t="s">
        <v>10</v>
      </c>
      <c r="D117" s="60">
        <f>'48'!D117+'49'!D117+'50'!J117+'51'!J117</f>
        <v>1.00189</v>
      </c>
    </row>
    <row r="118" spans="1:4" ht="12.75">
      <c r="A118" s="20" t="s">
        <v>83</v>
      </c>
      <c r="B118" s="3" t="s">
        <v>349</v>
      </c>
      <c r="C118" s="11" t="s">
        <v>22</v>
      </c>
      <c r="D118" s="60">
        <f>'48'!D116+'49'!D116+'50'!J116+'51'!J116</f>
        <v>6.006136199999999</v>
      </c>
    </row>
    <row r="119" spans="1:4" ht="12.75">
      <c r="A119" s="20" t="s">
        <v>84</v>
      </c>
      <c r="B119" s="3" t="s">
        <v>350</v>
      </c>
      <c r="C119" s="11" t="s">
        <v>22</v>
      </c>
      <c r="D119" s="60">
        <f>'48'!D117+'49'!D117+'50'!J117+'51'!J117</f>
        <v>1.00189</v>
      </c>
    </row>
    <row r="120" spans="1:4" ht="12.75">
      <c r="A120" s="20" t="s">
        <v>85</v>
      </c>
      <c r="B120" s="3" t="s">
        <v>33</v>
      </c>
      <c r="C120" s="11" t="s">
        <v>11</v>
      </c>
      <c r="D120" s="52">
        <f>'48'!D120+'49'!D120+'50'!J120+'51'!J120</f>
        <v>49</v>
      </c>
    </row>
    <row r="121" spans="1:4" ht="12.75">
      <c r="A121" s="20" t="s">
        <v>86</v>
      </c>
      <c r="B121" s="3" t="s">
        <v>34</v>
      </c>
      <c r="C121" s="11" t="s">
        <v>11</v>
      </c>
      <c r="D121" s="52">
        <f>'48'!D121+'49'!D121+'50'!J121+'51'!J121</f>
        <v>49</v>
      </c>
    </row>
    <row r="122" spans="1:4" ht="12.75">
      <c r="A122" s="20" t="s">
        <v>87</v>
      </c>
      <c r="B122" s="3" t="s">
        <v>58</v>
      </c>
      <c r="C122" s="11" t="s">
        <v>20</v>
      </c>
      <c r="D122" s="52">
        <f>'48'!D122+'49'!D122+'50'!J122+'51'!J122</f>
        <v>29</v>
      </c>
    </row>
    <row r="123" spans="1:4" s="69" customFormat="1" ht="12.75" hidden="1">
      <c r="A123" s="574"/>
      <c r="B123" s="575"/>
      <c r="C123" s="576"/>
      <c r="D123" s="381"/>
    </row>
    <row r="124" spans="1:4" ht="12.75">
      <c r="A124" s="20" t="s">
        <v>360</v>
      </c>
      <c r="B124" s="3" t="s">
        <v>30</v>
      </c>
      <c r="C124" s="11" t="s">
        <v>25</v>
      </c>
      <c r="D124" s="60"/>
    </row>
    <row r="125" spans="1:4" s="289" customFormat="1" ht="15" customHeight="1" hidden="1">
      <c r="A125" s="20" t="s">
        <v>361</v>
      </c>
      <c r="B125" s="5" t="s">
        <v>31</v>
      </c>
      <c r="C125" s="66" t="s">
        <v>15</v>
      </c>
      <c r="D125" s="60"/>
    </row>
    <row r="126" spans="1:4" ht="18.75">
      <c r="A126" s="39"/>
      <c r="B126" s="644" t="s">
        <v>216</v>
      </c>
      <c r="C126" s="590"/>
      <c r="D126" s="236"/>
    </row>
    <row r="127" spans="1:4" s="235" customFormat="1" ht="18.75">
      <c r="A127" s="397" t="s">
        <v>411</v>
      </c>
      <c r="B127" s="372" t="s">
        <v>39</v>
      </c>
      <c r="C127" s="398"/>
      <c r="D127" s="231"/>
    </row>
    <row r="128" spans="1:4" s="266" customFormat="1" ht="18.75">
      <c r="A128" s="448" t="s">
        <v>222</v>
      </c>
      <c r="B128" s="93" t="s">
        <v>41</v>
      </c>
      <c r="C128" s="562" t="s">
        <v>22</v>
      </c>
      <c r="D128" s="570">
        <f>'48'!D128+'49'!D128+'50'!J128+'51'!J128</f>
        <v>3.1481000000000003</v>
      </c>
    </row>
    <row r="129" spans="1:4" ht="12.75">
      <c r="A129" s="20" t="s">
        <v>199</v>
      </c>
      <c r="B129" s="3" t="s">
        <v>349</v>
      </c>
      <c r="C129" s="11" t="s">
        <v>22</v>
      </c>
      <c r="D129" s="60">
        <f>'48'!D129+'49'!D129+'50'!J129+'51'!J129</f>
        <v>1.6143000000000003</v>
      </c>
    </row>
    <row r="130" spans="1:4" ht="12.75">
      <c r="A130" s="20" t="s">
        <v>200</v>
      </c>
      <c r="B130" s="3" t="s">
        <v>350</v>
      </c>
      <c r="C130" s="11" t="s">
        <v>22</v>
      </c>
      <c r="D130" s="60">
        <f>'48'!D130+'49'!D130+'50'!J130+'51'!J130</f>
        <v>1.5338000000000003</v>
      </c>
    </row>
    <row r="131" spans="1:4" ht="12.75">
      <c r="A131" s="20" t="s">
        <v>201</v>
      </c>
      <c r="B131" s="3" t="s">
        <v>42</v>
      </c>
      <c r="C131" s="11" t="s">
        <v>11</v>
      </c>
      <c r="D131" s="52">
        <f>'48'!D131+'49'!D131+'50'!J131+'51'!J131</f>
        <v>49</v>
      </c>
    </row>
    <row r="132" spans="1:4" ht="12.75">
      <c r="A132" s="20" t="s">
        <v>202</v>
      </c>
      <c r="B132" s="3" t="s">
        <v>90</v>
      </c>
      <c r="C132" s="11" t="s">
        <v>22</v>
      </c>
      <c r="D132" s="60">
        <f>'48'!D132+'49'!D132+'50'!J132+'51'!J132</f>
        <v>0.4860000000000001</v>
      </c>
    </row>
    <row r="133" spans="1:4" ht="12.75">
      <c r="A133" s="20" t="s">
        <v>362</v>
      </c>
      <c r="B133" s="3" t="s">
        <v>43</v>
      </c>
      <c r="C133" s="11" t="s">
        <v>22</v>
      </c>
      <c r="D133" s="60">
        <f>'48'!D133+'49'!D133+'50'!J133+'51'!J133</f>
        <v>2.8790000000000004</v>
      </c>
    </row>
    <row r="134" spans="1:4" ht="18.75">
      <c r="A134" s="39"/>
      <c r="B134" s="644" t="s">
        <v>216</v>
      </c>
      <c r="C134" s="590"/>
      <c r="D134" s="236"/>
    </row>
    <row r="135" spans="1:4" ht="12.75" hidden="1">
      <c r="A135" s="20" t="s">
        <v>203</v>
      </c>
      <c r="B135" s="3" t="s">
        <v>52</v>
      </c>
      <c r="C135" s="12" t="s">
        <v>11</v>
      </c>
      <c r="D135" s="52">
        <f>'48'!D135+'49'!D135+'50'!J135+'51'!J135</f>
        <v>12</v>
      </c>
    </row>
    <row r="136" spans="1:4" ht="12.75" hidden="1">
      <c r="A136" s="20" t="s">
        <v>204</v>
      </c>
      <c r="B136" s="3" t="s">
        <v>55</v>
      </c>
      <c r="C136" s="12" t="s">
        <v>11</v>
      </c>
      <c r="D136" s="52">
        <f>'48'!D136+'49'!D136+'50'!J136+'51'!J136</f>
        <v>0</v>
      </c>
    </row>
    <row r="137" spans="1:4" ht="12.75" hidden="1">
      <c r="A137" s="20" t="s">
        <v>205</v>
      </c>
      <c r="B137" s="3" t="s">
        <v>57</v>
      </c>
      <c r="C137" s="12" t="s">
        <v>11</v>
      </c>
      <c r="D137" s="52">
        <f>'48'!D137+'49'!D137+'50'!J137+'51'!J137</f>
        <v>12</v>
      </c>
    </row>
    <row r="138" spans="1:4" ht="12.75" hidden="1">
      <c r="A138" s="39"/>
      <c r="B138" s="41" t="s">
        <v>27</v>
      </c>
      <c r="C138" s="43"/>
      <c r="D138" s="40"/>
    </row>
    <row r="139" spans="3:4" ht="12.75">
      <c r="C139" s="47"/>
      <c r="D139" s="47"/>
    </row>
    <row r="140" spans="1:5" ht="15">
      <c r="A140" s="29"/>
      <c r="B140" s="48"/>
      <c r="C140" s="776"/>
      <c r="D140" s="776"/>
      <c r="E140" s="28"/>
    </row>
    <row r="141" spans="1:3" ht="15">
      <c r="A141" s="29"/>
      <c r="B141" s="207" t="s">
        <v>346</v>
      </c>
      <c r="C141" s="207" t="s">
        <v>347</v>
      </c>
    </row>
    <row r="142" spans="1:4" ht="15">
      <c r="A142" s="34"/>
      <c r="B142" s="207"/>
      <c r="C142" s="207"/>
      <c r="D142" s="207"/>
    </row>
    <row r="143" spans="1:3" ht="15">
      <c r="A143" s="34"/>
      <c r="B143" s="207" t="s">
        <v>297</v>
      </c>
      <c r="C143" s="207" t="s">
        <v>151</v>
      </c>
    </row>
    <row r="144" spans="1:4" ht="15">
      <c r="A144" s="29"/>
      <c r="B144" s="207"/>
      <c r="C144" s="207"/>
      <c r="D144" s="207"/>
    </row>
    <row r="145" spans="1:4" ht="15">
      <c r="A145" s="29"/>
      <c r="B145" s="320" t="s">
        <v>311</v>
      </c>
      <c r="C145" s="320" t="s">
        <v>300</v>
      </c>
      <c r="D145" s="207"/>
    </row>
    <row r="146" spans="1:4" ht="15">
      <c r="A146" s="29"/>
      <c r="B146" s="321"/>
      <c r="C146" s="777"/>
      <c r="D146" s="777"/>
    </row>
    <row r="147" spans="1:4" ht="15">
      <c r="A147" s="29"/>
      <c r="B147" s="33"/>
      <c r="C147" s="48"/>
      <c r="D147" s="48"/>
    </row>
    <row r="148" spans="2:126" s="29" customFormat="1" ht="18.75" customHeight="1">
      <c r="B148" s="33"/>
      <c r="C148" s="749"/>
      <c r="D148" s="749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2:120" s="29" customFormat="1" ht="32.2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</row>
    <row r="150" spans="2:120" s="29" customFormat="1" ht="51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</row>
    <row r="151" spans="2:120" s="29" customFormat="1" ht="33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</row>
    <row r="152" spans="2:120" s="29" customFormat="1" ht="18.7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</row>
  </sheetData>
  <sheetProtection/>
  <mergeCells count="9">
    <mergeCell ref="C148:D148"/>
    <mergeCell ref="C146:D146"/>
    <mergeCell ref="A6:D6"/>
    <mergeCell ref="D19:D20"/>
    <mergeCell ref="C140:D140"/>
    <mergeCell ref="A7:D7"/>
    <mergeCell ref="A18:A20"/>
    <mergeCell ref="B18:B20"/>
    <mergeCell ref="C18:C20"/>
  </mergeCells>
  <printOptions/>
  <pageMargins left="0.75" right="0.22" top="0.33" bottom="0.38" header="0.17" footer="0.39"/>
  <pageSetup horizontalDpi="600" verticalDpi="600" orientation="portrait" paperSize="9" scale="60" r:id="rId1"/>
  <rowBreaks count="1" manualBreakCount="1">
    <brk id="87" max="7" man="1"/>
  </rowBreaks>
  <colBreaks count="1" manualBreakCount="1">
    <brk id="4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2014-03-03T07:05:58Z</cp:lastPrinted>
  <dcterms:created xsi:type="dcterms:W3CDTF">2012-11-08T08:20:50Z</dcterms:created>
  <dcterms:modified xsi:type="dcterms:W3CDTF">2014-03-03T12:17:32Z</dcterms:modified>
  <cp:category/>
  <cp:version/>
  <cp:contentType/>
  <cp:contentStatus/>
</cp:coreProperties>
</file>