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35" tabRatio="670" activeTab="0"/>
  </bookViews>
  <sheets>
    <sheet name="характеристика 2018" sheetId="1" r:id="rId1"/>
  </sheets>
  <definedNames>
    <definedName name="_xlnm.Print_Area" localSheetId="0">'характеристика 2018'!$A$1:$AJ$131</definedName>
  </definedNames>
  <calcPr fullCalcOnLoad="1"/>
</workbook>
</file>

<file path=xl/sharedStrings.xml><?xml version="1.0" encoding="utf-8"?>
<sst xmlns="http://schemas.openxmlformats.org/spreadsheetml/2006/main" count="308" uniqueCount="162">
  <si>
    <t>№ п/п</t>
  </si>
  <si>
    <t>№ дома</t>
  </si>
  <si>
    <t>общая площадь</t>
  </si>
  <si>
    <t>48/01</t>
  </si>
  <si>
    <t>48/03</t>
  </si>
  <si>
    <t>48/04</t>
  </si>
  <si>
    <t>48/05</t>
  </si>
  <si>
    <t>48/06</t>
  </si>
  <si>
    <t>48/11</t>
  </si>
  <si>
    <t>48/13</t>
  </si>
  <si>
    <t>48/15</t>
  </si>
  <si>
    <t>48/16</t>
  </si>
  <si>
    <t>48/17</t>
  </si>
  <si>
    <t>48/18</t>
  </si>
  <si>
    <t>48/20</t>
  </si>
  <si>
    <t>48/21</t>
  </si>
  <si>
    <t>ИТОГО</t>
  </si>
  <si>
    <t>в т.ч. 5этаж</t>
  </si>
  <si>
    <t xml:space="preserve">        9этаж</t>
  </si>
  <si>
    <t>привед пл.</t>
  </si>
  <si>
    <t>49/02</t>
  </si>
  <si>
    <t>49/03</t>
  </si>
  <si>
    <t>49/05</t>
  </si>
  <si>
    <t>49/06</t>
  </si>
  <si>
    <t>49/08</t>
  </si>
  <si>
    <t>49/10</t>
  </si>
  <si>
    <t>49/11</t>
  </si>
  <si>
    <t>49/13</t>
  </si>
  <si>
    <t>49/15</t>
  </si>
  <si>
    <t>49/18</t>
  </si>
  <si>
    <t>49/21</t>
  </si>
  <si>
    <t>49/22</t>
  </si>
  <si>
    <t>49/23</t>
  </si>
  <si>
    <t>49/24</t>
  </si>
  <si>
    <t>49/25</t>
  </si>
  <si>
    <t>49/27</t>
  </si>
  <si>
    <t>49/29</t>
  </si>
  <si>
    <t xml:space="preserve">         9этаж</t>
  </si>
  <si>
    <t>50/01</t>
  </si>
  <si>
    <t>50/02</t>
  </si>
  <si>
    <t>50/03</t>
  </si>
  <si>
    <t>50/04</t>
  </si>
  <si>
    <t>50/05</t>
  </si>
  <si>
    <t>50/06</t>
  </si>
  <si>
    <t>50/07</t>
  </si>
  <si>
    <t>50/11</t>
  </si>
  <si>
    <t>50/12</t>
  </si>
  <si>
    <t>50/13</t>
  </si>
  <si>
    <t>50/14</t>
  </si>
  <si>
    <t>50/15</t>
  </si>
  <si>
    <t>привед площадь</t>
  </si>
  <si>
    <t>51/01</t>
  </si>
  <si>
    <t>51/03</t>
  </si>
  <si>
    <t>51/04</t>
  </si>
  <si>
    <t>51/07</t>
  </si>
  <si>
    <t>51/10</t>
  </si>
  <si>
    <t>ХАРАКТЕРИСТИКА ЖИЛИЩНОГО ФОНДА</t>
  </si>
  <si>
    <t>кол-во этажей</t>
  </si>
  <si>
    <t>кол-во подъездов</t>
  </si>
  <si>
    <t>кол-во квартир</t>
  </si>
  <si>
    <t>жилая площадь</t>
  </si>
  <si>
    <t>площадь л/клеток за закрытыми дверями</t>
  </si>
  <si>
    <t>площадь мусорокамер</t>
  </si>
  <si>
    <t>твердые покрытия, презжая часть. Тротуары, площадки, отмостки</t>
  </si>
  <si>
    <t>газоны</t>
  </si>
  <si>
    <t>деревья</t>
  </si>
  <si>
    <t>кол-во проживающих</t>
  </si>
  <si>
    <t>1-комнатная</t>
  </si>
  <si>
    <t>2-комнатная</t>
  </si>
  <si>
    <t>3-комнатная</t>
  </si>
  <si>
    <t>4-комнатная</t>
  </si>
  <si>
    <t>5-комнатная</t>
  </si>
  <si>
    <t>Инвентарный номер</t>
  </si>
  <si>
    <t>Кадастровый номер</t>
  </si>
  <si>
    <t>год ввода</t>
  </si>
  <si>
    <t>ПО ООО "ЖЭУ 50"</t>
  </si>
  <si>
    <t>ПО ООО "ЖЭУ 51"</t>
  </si>
  <si>
    <t>Всего квартир</t>
  </si>
  <si>
    <t>5 этаж</t>
  </si>
  <si>
    <t>9 этаж</t>
  </si>
  <si>
    <t>ПО ООО "ЖЭУ КАМСТРОЙСЕРВИС"</t>
  </si>
  <si>
    <t>Проезжая часть</t>
  </si>
  <si>
    <t>Тротуары</t>
  </si>
  <si>
    <t>Отмостки</t>
  </si>
  <si>
    <t>Итого тверд покрытия</t>
  </si>
  <si>
    <t>В том числе:</t>
  </si>
  <si>
    <t>ЖЭУ 48</t>
  </si>
  <si>
    <t>ЖЭУ 51</t>
  </si>
  <si>
    <t>ЖЭУ 50</t>
  </si>
  <si>
    <t>ЖЭУ 49</t>
  </si>
  <si>
    <t>Всего:</t>
  </si>
  <si>
    <t>№ п.п.</t>
  </si>
  <si>
    <t>Высота этажа</t>
  </si>
  <si>
    <t>Год ввода в экспл.</t>
  </si>
  <si>
    <t>Жилая площадь здания</t>
  </si>
  <si>
    <t>Кол.-во квартир в доме</t>
  </si>
  <si>
    <t>Кол.-во этажей в доме</t>
  </si>
  <si>
    <t>Материал наружных стен</t>
  </si>
  <si>
    <t>Кол.во подъездов</t>
  </si>
  <si>
    <t>Наличие лифтов</t>
  </si>
  <si>
    <t>Наличие электроплит</t>
  </si>
  <si>
    <t>Общая площадь дома</t>
  </si>
  <si>
    <t>Факт наружный объем здания по тех.паспорту</t>
  </si>
  <si>
    <t>Объем подвалов</t>
  </si>
  <si>
    <t>Объем лестничных клеток</t>
  </si>
  <si>
    <t>панель</t>
  </si>
  <si>
    <t>49/27"А"</t>
  </si>
  <si>
    <t>10 этаж</t>
  </si>
  <si>
    <t>10этаж</t>
  </si>
  <si>
    <t>Количество 10 этажных домов  -   1</t>
  </si>
  <si>
    <t>49/25 "А"</t>
  </si>
  <si>
    <t>Количество 5 этажных домов  -   30</t>
  </si>
  <si>
    <t>Количество 9 этажных домов  -   18</t>
  </si>
  <si>
    <t>Общая площадь здания(лоджии,балконы, шкафы,коррид,л/клетки)</t>
  </si>
  <si>
    <t>площадь                         кровли</t>
  </si>
  <si>
    <t>Площадь                     подвалов</t>
  </si>
  <si>
    <t>детские                    площадки</t>
  </si>
  <si>
    <r>
      <t xml:space="preserve">площадь                       л/клеток         </t>
    </r>
    <r>
      <rPr>
        <b/>
        <sz val="11"/>
        <rFont val="Arial Cyr"/>
        <family val="0"/>
      </rPr>
      <t>Всего</t>
    </r>
  </si>
  <si>
    <r>
      <t xml:space="preserve">площадь                л/клеток </t>
    </r>
    <r>
      <rPr>
        <b/>
        <sz val="11"/>
        <rFont val="Arial Cyr"/>
        <family val="0"/>
      </rPr>
      <t>убираемая</t>
    </r>
  </si>
  <si>
    <r>
      <t xml:space="preserve">площадь                л/клеток                     </t>
    </r>
    <r>
      <rPr>
        <b/>
        <sz val="11"/>
        <rFont val="Arial Cyr"/>
        <family val="0"/>
      </rPr>
      <t>убираемая</t>
    </r>
  </si>
  <si>
    <r>
      <t xml:space="preserve">площадь                л/клеток                                   </t>
    </r>
    <r>
      <rPr>
        <b/>
        <sz val="11"/>
        <rFont val="Arial Cyr"/>
        <family val="0"/>
      </rPr>
      <t>за закрытыми дверями</t>
    </r>
  </si>
  <si>
    <t xml:space="preserve">по тех паспорту по данным БТИ </t>
  </si>
  <si>
    <t>детские площадки</t>
  </si>
  <si>
    <t>площадь кровли</t>
  </si>
  <si>
    <t>Площадь подвалов</t>
  </si>
  <si>
    <t>без кап.ремонта</t>
  </si>
  <si>
    <t>ПО ООО "ЖЭУ-49"</t>
  </si>
  <si>
    <t xml:space="preserve">по тех паспорту </t>
  </si>
  <si>
    <t xml:space="preserve">         10этаж</t>
  </si>
  <si>
    <t>8\27</t>
  </si>
  <si>
    <t>51/04А</t>
  </si>
  <si>
    <t>ИТОГО по ЖЭУ 48</t>
  </si>
  <si>
    <t>ИТОГО по ЖЭУ 49</t>
  </si>
  <si>
    <t>ИТОГО по ЖЭУ 50</t>
  </si>
  <si>
    <t>ИТОГО по ЖЭУ 51</t>
  </si>
  <si>
    <t>ИТОГО по "ЖЭУ "Камстройсервис"</t>
  </si>
  <si>
    <t>Кустарники</t>
  </si>
  <si>
    <t>Реестр насаждений на 01.10.2016 по ООО "ЖЭУ" Камстройсервис"</t>
  </si>
  <si>
    <t>Кол во деревьев</t>
  </si>
  <si>
    <t>Кол во кустарников</t>
  </si>
  <si>
    <t xml:space="preserve"> на дек 2015</t>
  </si>
  <si>
    <t>спилено в 2016</t>
  </si>
  <si>
    <t>посажено в 2016</t>
  </si>
  <si>
    <t>кол во на 07.10.16</t>
  </si>
  <si>
    <t>итого</t>
  </si>
  <si>
    <t>17 этаж</t>
  </si>
  <si>
    <t>17этаж</t>
  </si>
  <si>
    <t>50/14А</t>
  </si>
  <si>
    <t xml:space="preserve">         17этаж</t>
  </si>
  <si>
    <t>временно прож</t>
  </si>
  <si>
    <t>Всего:                                      -  50</t>
  </si>
  <si>
    <r>
      <t xml:space="preserve">площадь                       л/клеток         </t>
    </r>
    <r>
      <rPr>
        <b/>
        <i/>
        <sz val="11"/>
        <rFont val="Arial Cyr"/>
        <family val="0"/>
      </rPr>
      <t>Всего</t>
    </r>
  </si>
  <si>
    <r>
      <t xml:space="preserve">площадь                л/клеток </t>
    </r>
    <r>
      <rPr>
        <b/>
        <i/>
        <sz val="11"/>
        <rFont val="Arial Cyr"/>
        <family val="0"/>
      </rPr>
      <t>за закрытыми дверями</t>
    </r>
  </si>
  <si>
    <r>
      <t xml:space="preserve">площадь                л/клеток </t>
    </r>
    <r>
      <rPr>
        <b/>
        <i/>
        <sz val="11"/>
        <rFont val="Arial Cyr"/>
        <family val="0"/>
      </rPr>
      <t>убираемая</t>
    </r>
  </si>
  <si>
    <r>
      <t xml:space="preserve">площадь л/клеток </t>
    </r>
    <r>
      <rPr>
        <b/>
        <i/>
        <sz val="11"/>
        <rFont val="Arial Cyr"/>
        <family val="0"/>
      </rPr>
      <t>Всего</t>
    </r>
  </si>
  <si>
    <r>
      <t xml:space="preserve">площадь л/клеток </t>
    </r>
    <r>
      <rPr>
        <b/>
        <i/>
        <sz val="11"/>
        <rFont val="Arial Cyr"/>
        <family val="0"/>
      </rPr>
      <t>за закрытыми дверями</t>
    </r>
  </si>
  <si>
    <r>
      <t xml:space="preserve">площадь л/клеток </t>
    </r>
    <r>
      <rPr>
        <b/>
        <i/>
        <sz val="11"/>
        <rFont val="Arial Cyr"/>
        <family val="0"/>
      </rPr>
      <t>убираемая</t>
    </r>
  </si>
  <si>
    <r>
      <t xml:space="preserve">площадь                л/клеток               </t>
    </r>
    <r>
      <rPr>
        <b/>
        <i/>
        <sz val="11"/>
        <rFont val="Arial Cyr"/>
        <family val="0"/>
      </rPr>
      <t>за закрытыми дверями</t>
    </r>
  </si>
  <si>
    <r>
      <t xml:space="preserve">площадь                л/клеток                              </t>
    </r>
    <r>
      <rPr>
        <b/>
        <sz val="11"/>
        <rFont val="Arial Cyr"/>
        <family val="0"/>
      </rPr>
      <t>за закрытыми дверями</t>
    </r>
  </si>
  <si>
    <t>апрель 2018</t>
  </si>
  <si>
    <t>апрель 2018г.</t>
  </si>
  <si>
    <t>апрель 2018 год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</si>
</sst>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  <numFmt numFmtId="181" formatCode="0.000"/>
    <numFmt numFmtId="182" formatCode="0.00000"/>
    <numFmt numFmtId="183" formatCode="0.0000"/>
    <numFmt numFmtId="184" formatCode="#,##0.0"/>
    <numFmt numFmtId="185" formatCode="_-* #,##0.0_р_._-;\-* #,##0.0_р_._-;_-* &quot;-&quot;??_р_._-;_-@_-"/>
    <numFmt numFmtId="186" formatCode="_-* #,##0_р_._-;\-* #,##0_р_._-;_-* &quot;-&quot;??_р_._-;_-@_-"/>
    <numFmt numFmtId="187" formatCode="[$-FC19]d\ mmmm\ yyyy\ &quot;г.&quot;"/>
    <numFmt numFmtId="188" formatCode="0.00_ ;\-0.00\ "/>
    <numFmt numFmtId="189" formatCode="0.0_ ;\-0.0\ "/>
    <numFmt numFmtId="190" formatCode="0_ ;\-0\ "/>
  </numFmts>
  <fonts count="29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0"/>
    </font>
    <font>
      <sz val="11"/>
      <name val="Arial Cyr"/>
      <family val="0"/>
    </font>
    <font>
      <sz val="11"/>
      <color indexed="63"/>
      <name val="Arial Cyr"/>
      <family val="0"/>
    </font>
    <font>
      <i/>
      <sz val="11"/>
      <name val="Arial"/>
      <family val="2"/>
    </font>
    <font>
      <i/>
      <sz val="11"/>
      <color indexed="63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1"/>
      <color indexed="12"/>
      <name val="Arial Cyr"/>
      <family val="2"/>
    </font>
    <font>
      <sz val="11"/>
      <color indexed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24" borderId="10" xfId="0" applyFont="1" applyFill="1" applyBorder="1" applyAlignment="1">
      <alignment/>
    </xf>
    <xf numFmtId="180" fontId="3" fillId="24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84" fontId="3" fillId="0" borderId="10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25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80" fontId="5" fillId="0" borderId="10" xfId="0" applyNumberFormat="1" applyFont="1" applyFill="1" applyBorder="1" applyAlignment="1">
      <alignment/>
    </xf>
    <xf numFmtId="180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184" fontId="3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textRotation="90" wrapText="1"/>
    </xf>
    <xf numFmtId="0" fontId="9" fillId="0" borderId="0" xfId="0" applyFont="1" applyFill="1" applyAlignment="1">
      <alignment/>
    </xf>
    <xf numFmtId="180" fontId="4" fillId="0" borderId="10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textRotation="90"/>
    </xf>
    <xf numFmtId="0" fontId="9" fillId="0" borderId="10" xfId="0" applyFont="1" applyFill="1" applyBorder="1" applyAlignment="1">
      <alignment textRotation="90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84" fontId="3" fillId="0" borderId="0" xfId="0" applyNumberFormat="1" applyFont="1" applyFill="1" applyAlignment="1">
      <alignment/>
    </xf>
    <xf numFmtId="17" fontId="3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textRotation="90" wrapText="1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textRotation="90" wrapText="1"/>
    </xf>
    <xf numFmtId="190" fontId="7" fillId="0" borderId="10" xfId="58" applyNumberFormat="1" applyFont="1" applyFill="1" applyBorder="1" applyAlignment="1">
      <alignment horizontal="center"/>
    </xf>
    <xf numFmtId="186" fontId="7" fillId="0" borderId="10" xfId="58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textRotation="90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wrapText="1"/>
    </xf>
    <xf numFmtId="0" fontId="11" fillId="0" borderId="0" xfId="0" applyFont="1" applyFill="1" applyBorder="1" applyAlignment="1">
      <alignment textRotation="90"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180" fontId="12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" fontId="3" fillId="0" borderId="10" xfId="0" applyNumberFormat="1" applyFont="1" applyFill="1" applyBorder="1" applyAlignment="1">
      <alignment horizontal="center" wrapText="1"/>
    </xf>
    <xf numFmtId="0" fontId="9" fillId="25" borderId="10" xfId="0" applyFont="1" applyFill="1" applyBorder="1" applyAlignment="1">
      <alignment horizontal="center" textRotation="90" wrapText="1"/>
    </xf>
    <xf numFmtId="0" fontId="3" fillId="25" borderId="10" xfId="0" applyFont="1" applyFill="1" applyBorder="1" applyAlignment="1">
      <alignment horizontal="center" wrapText="1"/>
    </xf>
    <xf numFmtId="0" fontId="3" fillId="25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 textRotation="90" wrapText="1"/>
    </xf>
    <xf numFmtId="2" fontId="7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0" fontId="3" fillId="8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3" fillId="12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/>
    </xf>
    <xf numFmtId="17" fontId="3" fillId="0" borderId="0" xfId="0" applyNumberFormat="1" applyFont="1" applyFill="1" applyAlignment="1">
      <alignment/>
    </xf>
    <xf numFmtId="17" fontId="3" fillId="0" borderId="0" xfId="0" applyNumberFormat="1" applyFont="1" applyFill="1" applyAlignment="1">
      <alignment horizontal="center"/>
    </xf>
    <xf numFmtId="0" fontId="5" fillId="12" borderId="10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3" fillId="24" borderId="12" xfId="0" applyFont="1" applyFill="1" applyBorder="1" applyAlignment="1">
      <alignment/>
    </xf>
    <xf numFmtId="0" fontId="5" fillId="2" borderId="10" xfId="0" applyFont="1" applyFill="1" applyBorder="1" applyAlignment="1">
      <alignment horizontal="center"/>
    </xf>
    <xf numFmtId="0" fontId="3" fillId="24" borderId="12" xfId="0" applyFont="1" applyFill="1" applyBorder="1" applyAlignment="1">
      <alignment wrapText="1"/>
    </xf>
    <xf numFmtId="0" fontId="3" fillId="8" borderId="1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textRotation="90"/>
    </xf>
    <xf numFmtId="0" fontId="11" fillId="0" borderId="14" xfId="0" applyFont="1" applyFill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textRotation="90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textRotation="90" wrapText="1"/>
    </xf>
    <xf numFmtId="0" fontId="1" fillId="0" borderId="13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16"/>
  <sheetViews>
    <sheetView tabSelected="1" view="pageBreakPreview" zoomScaleSheetLayoutView="100" workbookViewId="0" topLeftCell="M1">
      <selection activeCell="R17" sqref="R17"/>
    </sheetView>
  </sheetViews>
  <sheetFormatPr defaultColWidth="9.00390625" defaultRowHeight="12.75"/>
  <cols>
    <col min="1" max="1" width="4.00390625" style="24" customWidth="1"/>
    <col min="2" max="2" width="4.75390625" style="24" customWidth="1"/>
    <col min="3" max="3" width="7.875" style="24" customWidth="1"/>
    <col min="4" max="4" width="5.75390625" style="24" customWidth="1"/>
    <col min="5" max="5" width="8.125" style="24" customWidth="1"/>
    <col min="6" max="6" width="7.75390625" style="24" hidden="1" customWidth="1"/>
    <col min="7" max="7" width="5.25390625" style="24" customWidth="1"/>
    <col min="8" max="8" width="8.375" style="24" customWidth="1"/>
    <col min="9" max="9" width="8.25390625" style="24" customWidth="1"/>
    <col min="10" max="10" width="14.375" style="24" customWidth="1"/>
    <col min="11" max="11" width="11.875" style="24" customWidth="1"/>
    <col min="12" max="12" width="14.25390625" style="24" hidden="1" customWidth="1"/>
    <col min="13" max="13" width="9.75390625" style="24" customWidth="1"/>
    <col min="14" max="14" width="9.875" style="24" customWidth="1"/>
    <col min="15" max="15" width="12.75390625" style="24" hidden="1" customWidth="1"/>
    <col min="16" max="17" width="9.375" style="24" customWidth="1"/>
    <col min="18" max="18" width="14.00390625" style="24" customWidth="1"/>
    <col min="19" max="20" width="11.75390625" style="24" customWidth="1"/>
    <col min="21" max="23" width="10.75390625" style="24" customWidth="1"/>
    <col min="24" max="24" width="12.25390625" style="24" customWidth="1"/>
    <col min="25" max="25" width="10.25390625" style="24" customWidth="1"/>
    <col min="26" max="26" width="11.00390625" style="24" customWidth="1"/>
    <col min="27" max="27" width="10.625" style="24" customWidth="1"/>
    <col min="28" max="28" width="7.875" style="24" customWidth="1"/>
    <col min="29" max="29" width="6.875" style="24" customWidth="1"/>
    <col min="30" max="30" width="7.75390625" style="24" customWidth="1"/>
    <col min="31" max="31" width="7.875" style="24" customWidth="1"/>
    <col min="32" max="32" width="7.625" style="24" customWidth="1"/>
    <col min="33" max="33" width="7.00390625" style="24" customWidth="1"/>
    <col min="34" max="34" width="8.25390625" style="24" customWidth="1"/>
    <col min="35" max="35" width="8.375" style="24" customWidth="1"/>
    <col min="36" max="36" width="13.25390625" style="24" customWidth="1"/>
    <col min="37" max="16384" width="9.125" style="24" customWidth="1"/>
  </cols>
  <sheetData>
    <row r="1" spans="3:17" ht="15">
      <c r="C1" s="29" t="s">
        <v>56</v>
      </c>
      <c r="K1" s="30" t="s">
        <v>159</v>
      </c>
      <c r="L1" s="31"/>
      <c r="M1" s="31"/>
      <c r="N1" s="31"/>
      <c r="O1" s="31"/>
      <c r="P1" s="31"/>
      <c r="Q1" s="31"/>
    </row>
    <row r="2" spans="3:13" ht="15">
      <c r="C2" s="29"/>
      <c r="M2" s="24" t="s">
        <v>127</v>
      </c>
    </row>
    <row r="3" spans="1:36" s="35" customFormat="1" ht="85.5" customHeight="1">
      <c r="A3" s="32" t="s">
        <v>0</v>
      </c>
      <c r="B3" s="32"/>
      <c r="C3" s="33" t="s">
        <v>1</v>
      </c>
      <c r="D3" s="34" t="s">
        <v>74</v>
      </c>
      <c r="E3" s="34" t="s">
        <v>72</v>
      </c>
      <c r="F3" s="33" t="s">
        <v>73</v>
      </c>
      <c r="G3" s="34" t="s">
        <v>57</v>
      </c>
      <c r="H3" s="34" t="s">
        <v>58</v>
      </c>
      <c r="I3" s="34" t="s">
        <v>59</v>
      </c>
      <c r="J3" s="34" t="s">
        <v>60</v>
      </c>
      <c r="K3" s="34" t="s">
        <v>2</v>
      </c>
      <c r="L3" s="33" t="s">
        <v>113</v>
      </c>
      <c r="M3" s="34" t="s">
        <v>151</v>
      </c>
      <c r="N3" s="34" t="s">
        <v>155</v>
      </c>
      <c r="O3" s="34" t="s">
        <v>157</v>
      </c>
      <c r="P3" s="34" t="s">
        <v>153</v>
      </c>
      <c r="Q3" s="34" t="s">
        <v>62</v>
      </c>
      <c r="R3" s="34" t="s">
        <v>63</v>
      </c>
      <c r="S3" s="34" t="s">
        <v>84</v>
      </c>
      <c r="T3" s="34" t="s">
        <v>81</v>
      </c>
      <c r="U3" s="34" t="s">
        <v>82</v>
      </c>
      <c r="V3" s="34" t="s">
        <v>83</v>
      </c>
      <c r="W3" s="34" t="s">
        <v>116</v>
      </c>
      <c r="X3" s="34" t="s">
        <v>64</v>
      </c>
      <c r="Y3" s="34" t="s">
        <v>65</v>
      </c>
      <c r="Z3" s="34" t="str">
        <f>Z26</f>
        <v>площадь кровли</v>
      </c>
      <c r="AA3" s="34" t="str">
        <f aca="true" t="shared" si="0" ref="AA3:AH3">AA26</f>
        <v>Площадь подвалов</v>
      </c>
      <c r="AB3" s="34" t="str">
        <f t="shared" si="0"/>
        <v>кол-во проживающих</v>
      </c>
      <c r="AC3" s="34" t="str">
        <f t="shared" si="0"/>
        <v>1-комнатная</v>
      </c>
      <c r="AD3" s="34" t="str">
        <f t="shared" si="0"/>
        <v>2-комнатная</v>
      </c>
      <c r="AE3" s="34" t="str">
        <f t="shared" si="0"/>
        <v>3-комнатная</v>
      </c>
      <c r="AF3" s="34" t="str">
        <f t="shared" si="0"/>
        <v>4-комнатная</v>
      </c>
      <c r="AG3" s="34" t="str">
        <f t="shared" si="0"/>
        <v>5-комнатная</v>
      </c>
      <c r="AH3" s="34" t="str">
        <f t="shared" si="0"/>
        <v>Всего квартир</v>
      </c>
      <c r="AI3" s="34" t="s">
        <v>65</v>
      </c>
      <c r="AJ3" s="34" t="s">
        <v>136</v>
      </c>
    </row>
    <row r="4" spans="1:34" ht="0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5" ht="14.25">
      <c r="A5" s="5">
        <v>1</v>
      </c>
      <c r="B5" s="5"/>
      <c r="C5" s="5" t="s">
        <v>3</v>
      </c>
      <c r="D5" s="5">
        <v>1979</v>
      </c>
      <c r="E5" s="4">
        <v>336</v>
      </c>
      <c r="F5" s="5"/>
      <c r="G5" s="5">
        <v>9</v>
      </c>
      <c r="H5" s="5">
        <v>8</v>
      </c>
      <c r="I5" s="5">
        <v>277</v>
      </c>
      <c r="J5" s="5">
        <v>9826.5</v>
      </c>
      <c r="K5" s="8">
        <v>16607.8</v>
      </c>
      <c r="L5" s="5">
        <v>19758.8</v>
      </c>
      <c r="M5" s="8">
        <v>2673.1</v>
      </c>
      <c r="N5" s="5">
        <v>509.52</v>
      </c>
      <c r="O5" s="5">
        <v>477.4</v>
      </c>
      <c r="P5" s="8">
        <f>M5-N5</f>
        <v>2163.58</v>
      </c>
      <c r="Q5" s="5">
        <v>25.4</v>
      </c>
      <c r="R5" s="4">
        <f aca="true" t="shared" si="1" ref="R5:R16">T5+U5+V5+W5</f>
        <v>4140</v>
      </c>
      <c r="S5" s="4">
        <f aca="true" t="shared" si="2" ref="S5:S16">T5+U5+V5</f>
        <v>4140</v>
      </c>
      <c r="T5" s="4">
        <v>2072</v>
      </c>
      <c r="U5" s="4">
        <v>1578</v>
      </c>
      <c r="V5" s="4">
        <v>490</v>
      </c>
      <c r="W5" s="4">
        <f>260*0</f>
        <v>0</v>
      </c>
      <c r="X5" s="13">
        <v>8406</v>
      </c>
      <c r="Y5" s="5">
        <v>158</v>
      </c>
      <c r="Z5" s="36">
        <v>2649.8</v>
      </c>
      <c r="AA5" s="5">
        <v>2649.8</v>
      </c>
      <c r="AB5" s="5">
        <v>784</v>
      </c>
      <c r="AC5" s="5">
        <v>11</v>
      </c>
      <c r="AD5" s="5">
        <v>129</v>
      </c>
      <c r="AE5" s="5">
        <v>120</v>
      </c>
      <c r="AF5" s="5">
        <v>9</v>
      </c>
      <c r="AG5" s="5">
        <v>8</v>
      </c>
      <c r="AH5" s="5">
        <f aca="true" t="shared" si="3" ref="AH5:AH16">AC5+AD5+AE5+AF5+AG5</f>
        <v>277</v>
      </c>
      <c r="AI5" s="5">
        <v>794</v>
      </c>
    </row>
    <row r="6" spans="1:35" ht="14.25">
      <c r="A6" s="5">
        <v>2</v>
      </c>
      <c r="B6" s="5"/>
      <c r="C6" s="11" t="s">
        <v>4</v>
      </c>
      <c r="D6" s="5">
        <v>1979</v>
      </c>
      <c r="E6" s="4">
        <v>337</v>
      </c>
      <c r="F6" s="5"/>
      <c r="G6" s="5">
        <v>5</v>
      </c>
      <c r="H6" s="5">
        <v>16</v>
      </c>
      <c r="I6" s="5">
        <v>244</v>
      </c>
      <c r="J6" s="5">
        <v>7373</v>
      </c>
      <c r="K6" s="8">
        <v>11635.6</v>
      </c>
      <c r="L6" s="5">
        <v>13336.4</v>
      </c>
      <c r="M6" s="8">
        <v>1374.4</v>
      </c>
      <c r="N6" s="5">
        <v>123.76</v>
      </c>
      <c r="O6" s="5">
        <v>160.6</v>
      </c>
      <c r="P6" s="8">
        <f aca="true" t="shared" si="4" ref="P6:P16">M6-N6</f>
        <v>1250.64</v>
      </c>
      <c r="Q6" s="5">
        <v>23.5</v>
      </c>
      <c r="R6" s="4">
        <f t="shared" si="1"/>
        <v>2972.7</v>
      </c>
      <c r="S6" s="4">
        <f t="shared" si="2"/>
        <v>2896.2</v>
      </c>
      <c r="T6" s="4">
        <v>1377.6</v>
      </c>
      <c r="U6" s="4">
        <v>911.1</v>
      </c>
      <c r="V6" s="4">
        <f>665*0+607.5</f>
        <v>607.5</v>
      </c>
      <c r="W6" s="4">
        <f>(330*0+121+126)*0+76.5</f>
        <v>76.5</v>
      </c>
      <c r="X6" s="12">
        <v>4339</v>
      </c>
      <c r="Y6" s="5">
        <v>139</v>
      </c>
      <c r="Z6" s="36">
        <v>2973.1</v>
      </c>
      <c r="AA6" s="5">
        <v>2973.1</v>
      </c>
      <c r="AB6" s="5">
        <v>679</v>
      </c>
      <c r="AC6" s="5">
        <v>35</v>
      </c>
      <c r="AD6" s="5">
        <v>126</v>
      </c>
      <c r="AE6" s="5">
        <v>72</v>
      </c>
      <c r="AF6" s="5">
        <v>11</v>
      </c>
      <c r="AG6" s="5"/>
      <c r="AH6" s="5">
        <f t="shared" si="3"/>
        <v>244</v>
      </c>
      <c r="AI6" s="5">
        <v>675</v>
      </c>
    </row>
    <row r="7" spans="1:35" ht="14.25">
      <c r="A7" s="5">
        <v>3</v>
      </c>
      <c r="B7" s="5"/>
      <c r="C7" s="112" t="s">
        <v>5</v>
      </c>
      <c r="D7" s="5">
        <v>1979</v>
      </c>
      <c r="E7" s="4">
        <v>338</v>
      </c>
      <c r="F7" s="5"/>
      <c r="G7" s="5">
        <v>5</v>
      </c>
      <c r="H7" s="5">
        <v>16</v>
      </c>
      <c r="I7" s="5">
        <v>245</v>
      </c>
      <c r="J7" s="5">
        <v>7380.9</v>
      </c>
      <c r="K7" s="8">
        <v>11651.6</v>
      </c>
      <c r="L7" s="5">
        <v>13401.1</v>
      </c>
      <c r="M7" s="8">
        <v>1391.6</v>
      </c>
      <c r="N7" s="5">
        <v>161.82</v>
      </c>
      <c r="O7" s="5">
        <v>175.2</v>
      </c>
      <c r="P7" s="8">
        <f t="shared" si="4"/>
        <v>1229.78</v>
      </c>
      <c r="Q7" s="5">
        <v>28.3</v>
      </c>
      <c r="R7" s="4">
        <f t="shared" si="1"/>
        <v>3071</v>
      </c>
      <c r="S7" s="4">
        <f t="shared" si="2"/>
        <v>2911</v>
      </c>
      <c r="T7" s="13">
        <v>1712</v>
      </c>
      <c r="U7" s="13">
        <v>843</v>
      </c>
      <c r="V7" s="13">
        <v>356</v>
      </c>
      <c r="W7" s="4">
        <f>260*0+160</f>
        <v>160</v>
      </c>
      <c r="X7" s="13">
        <v>8251</v>
      </c>
      <c r="Y7" s="5">
        <v>108</v>
      </c>
      <c r="Z7" s="36">
        <v>2961.7</v>
      </c>
      <c r="AA7" s="5">
        <v>2496.3</v>
      </c>
      <c r="AB7" s="5">
        <v>689</v>
      </c>
      <c r="AC7" s="5">
        <v>35</v>
      </c>
      <c r="AD7" s="5">
        <v>126</v>
      </c>
      <c r="AE7" s="5">
        <v>73</v>
      </c>
      <c r="AF7" s="5">
        <v>10</v>
      </c>
      <c r="AG7" s="5"/>
      <c r="AH7" s="5">
        <f t="shared" si="3"/>
        <v>244</v>
      </c>
      <c r="AI7" s="5">
        <v>700</v>
      </c>
    </row>
    <row r="8" spans="1:35" ht="14.25">
      <c r="A8" s="5">
        <v>4</v>
      </c>
      <c r="B8" s="5"/>
      <c r="C8" s="112" t="s">
        <v>6</v>
      </c>
      <c r="D8" s="5">
        <v>1979</v>
      </c>
      <c r="E8" s="4">
        <v>339</v>
      </c>
      <c r="F8" s="5"/>
      <c r="G8" s="5">
        <v>5</v>
      </c>
      <c r="H8" s="5">
        <v>16</v>
      </c>
      <c r="I8" s="5">
        <v>244</v>
      </c>
      <c r="J8" s="5">
        <v>7401.7</v>
      </c>
      <c r="K8" s="8">
        <v>11595.1</v>
      </c>
      <c r="L8" s="8">
        <v>13371</v>
      </c>
      <c r="M8" s="8">
        <v>1542.2</v>
      </c>
      <c r="N8" s="5">
        <v>173.2</v>
      </c>
      <c r="O8" s="5">
        <v>146</v>
      </c>
      <c r="P8" s="8">
        <f t="shared" si="4"/>
        <v>1369</v>
      </c>
      <c r="Q8" s="5">
        <v>23.9</v>
      </c>
      <c r="R8" s="4">
        <f t="shared" si="1"/>
        <v>3974</v>
      </c>
      <c r="S8" s="4">
        <f t="shared" si="2"/>
        <v>3880</v>
      </c>
      <c r="T8" s="13">
        <v>2187</v>
      </c>
      <c r="U8" s="13">
        <v>1227</v>
      </c>
      <c r="V8" s="13">
        <v>466</v>
      </c>
      <c r="W8" s="4">
        <v>94</v>
      </c>
      <c r="X8" s="13">
        <f>9962+66</f>
        <v>10028</v>
      </c>
      <c r="Y8" s="5">
        <v>150</v>
      </c>
      <c r="Z8" s="8">
        <v>2971.2</v>
      </c>
      <c r="AA8" s="5">
        <v>2971.2</v>
      </c>
      <c r="AB8" s="5">
        <v>680</v>
      </c>
      <c r="AC8" s="5">
        <v>35</v>
      </c>
      <c r="AD8" s="5">
        <v>125</v>
      </c>
      <c r="AE8" s="5">
        <v>74</v>
      </c>
      <c r="AF8" s="5">
        <v>10</v>
      </c>
      <c r="AG8" s="5"/>
      <c r="AH8" s="5">
        <f t="shared" si="3"/>
        <v>244</v>
      </c>
      <c r="AI8" s="5">
        <v>670</v>
      </c>
    </row>
    <row r="9" spans="1:35" ht="14.25">
      <c r="A9" s="5">
        <v>5</v>
      </c>
      <c r="B9" s="5"/>
      <c r="C9" s="112" t="s">
        <v>7</v>
      </c>
      <c r="D9" s="5">
        <v>1980</v>
      </c>
      <c r="E9" s="4">
        <v>340</v>
      </c>
      <c r="F9" s="5"/>
      <c r="G9" s="5">
        <v>5</v>
      </c>
      <c r="H9" s="5">
        <v>16</v>
      </c>
      <c r="I9" s="5">
        <v>244</v>
      </c>
      <c r="J9" s="8">
        <v>7437</v>
      </c>
      <c r="K9" s="8">
        <v>11578.4</v>
      </c>
      <c r="L9" s="5">
        <v>13316.7</v>
      </c>
      <c r="M9" s="8">
        <f>1355.7</f>
        <v>1355.7</v>
      </c>
      <c r="N9" s="5">
        <v>173.04</v>
      </c>
      <c r="O9" s="5">
        <v>160.6</v>
      </c>
      <c r="P9" s="8">
        <f t="shared" si="4"/>
        <v>1182.66</v>
      </c>
      <c r="Q9" s="5">
        <v>24.6</v>
      </c>
      <c r="R9" s="4">
        <f t="shared" si="1"/>
        <v>3195</v>
      </c>
      <c r="S9" s="4">
        <f t="shared" si="2"/>
        <v>3000</v>
      </c>
      <c r="T9" s="13">
        <v>1724</v>
      </c>
      <c r="U9" s="13">
        <v>807</v>
      </c>
      <c r="V9" s="13">
        <v>469</v>
      </c>
      <c r="W9" s="4">
        <f>471*0+93+102</f>
        <v>195</v>
      </c>
      <c r="X9" s="13">
        <f>11239</f>
        <v>11239</v>
      </c>
      <c r="Y9" s="5">
        <v>186</v>
      </c>
      <c r="Z9" s="8">
        <v>2956.9</v>
      </c>
      <c r="AA9" s="5">
        <v>2956.9</v>
      </c>
      <c r="AB9" s="5">
        <v>685</v>
      </c>
      <c r="AC9" s="5">
        <v>35</v>
      </c>
      <c r="AD9" s="5">
        <v>126</v>
      </c>
      <c r="AE9" s="5">
        <v>73</v>
      </c>
      <c r="AF9" s="5">
        <v>10</v>
      </c>
      <c r="AG9" s="5"/>
      <c r="AH9" s="5">
        <f t="shared" si="3"/>
        <v>244</v>
      </c>
      <c r="AI9" s="5">
        <v>683</v>
      </c>
    </row>
    <row r="10" spans="1:35" ht="14.25">
      <c r="A10" s="5">
        <v>6</v>
      </c>
      <c r="B10" s="5"/>
      <c r="C10" s="11" t="s">
        <v>8</v>
      </c>
      <c r="D10" s="5">
        <v>1980</v>
      </c>
      <c r="E10" s="4">
        <v>341</v>
      </c>
      <c r="F10" s="5"/>
      <c r="G10" s="5">
        <v>9</v>
      </c>
      <c r="H10" s="5">
        <v>17</v>
      </c>
      <c r="I10" s="5">
        <v>583</v>
      </c>
      <c r="J10" s="5">
        <v>21241.8</v>
      </c>
      <c r="K10" s="8">
        <v>35501.4</v>
      </c>
      <c r="L10" s="5">
        <v>41894.6</v>
      </c>
      <c r="M10" s="8">
        <v>5315.3</v>
      </c>
      <c r="N10" s="5">
        <v>806.45</v>
      </c>
      <c r="O10" s="5">
        <v>752.92</v>
      </c>
      <c r="P10" s="8">
        <f t="shared" si="4"/>
        <v>4508.85</v>
      </c>
      <c r="Q10" s="5">
        <v>59.8</v>
      </c>
      <c r="R10" s="4">
        <f t="shared" si="1"/>
        <v>4739.6</v>
      </c>
      <c r="S10" s="4">
        <f t="shared" si="2"/>
        <v>4584</v>
      </c>
      <c r="T10" s="13">
        <v>1461.7</v>
      </c>
      <c r="U10" s="13">
        <v>2388.3</v>
      </c>
      <c r="V10" s="13">
        <v>734</v>
      </c>
      <c r="W10" s="4">
        <v>155.6</v>
      </c>
      <c r="X10" s="13">
        <v>11842.3</v>
      </c>
      <c r="Y10" s="5">
        <v>297</v>
      </c>
      <c r="Z10" s="8">
        <v>5760.2</v>
      </c>
      <c r="AA10" s="5">
        <v>5636.5</v>
      </c>
      <c r="AB10" s="5">
        <v>1692</v>
      </c>
      <c r="AC10" s="5">
        <v>42</v>
      </c>
      <c r="AD10" s="5">
        <v>242</v>
      </c>
      <c r="AE10" s="5">
        <v>228</v>
      </c>
      <c r="AF10" s="5">
        <v>46</v>
      </c>
      <c r="AG10" s="5">
        <v>25</v>
      </c>
      <c r="AH10" s="5">
        <f t="shared" si="3"/>
        <v>583</v>
      </c>
      <c r="AI10" s="5">
        <v>1697</v>
      </c>
    </row>
    <row r="11" spans="1:35" ht="14.25">
      <c r="A11" s="5">
        <v>7</v>
      </c>
      <c r="B11" s="5"/>
      <c r="C11" s="112" t="s">
        <v>9</v>
      </c>
      <c r="D11" s="5">
        <v>1979</v>
      </c>
      <c r="E11" s="4">
        <v>342</v>
      </c>
      <c r="F11" s="5"/>
      <c r="G11" s="5">
        <v>9</v>
      </c>
      <c r="H11" s="5">
        <v>8</v>
      </c>
      <c r="I11" s="5">
        <v>282</v>
      </c>
      <c r="J11" s="5">
        <v>9722.7</v>
      </c>
      <c r="K11" s="8">
        <v>16524.6</v>
      </c>
      <c r="L11" s="5">
        <v>19791.8</v>
      </c>
      <c r="M11" s="8">
        <v>2845</v>
      </c>
      <c r="N11" s="5">
        <v>557.94</v>
      </c>
      <c r="O11" s="5">
        <v>487.52</v>
      </c>
      <c r="P11" s="8">
        <f t="shared" si="4"/>
        <v>2287.06</v>
      </c>
      <c r="Q11" s="9">
        <v>11.7</v>
      </c>
      <c r="R11" s="4">
        <f t="shared" si="1"/>
        <v>3425</v>
      </c>
      <c r="S11" s="4">
        <f t="shared" si="2"/>
        <v>3059</v>
      </c>
      <c r="T11" s="13">
        <v>1791</v>
      </c>
      <c r="U11" s="13">
        <v>843</v>
      </c>
      <c r="V11" s="13">
        <v>425</v>
      </c>
      <c r="W11" s="4">
        <f>325+41</f>
        <v>366</v>
      </c>
      <c r="X11" s="13">
        <v>10252</v>
      </c>
      <c r="Y11" s="5">
        <v>121</v>
      </c>
      <c r="Z11" s="8">
        <v>2693</v>
      </c>
      <c r="AA11" s="5">
        <v>2647.4</v>
      </c>
      <c r="AB11" s="5">
        <v>812</v>
      </c>
      <c r="AC11" s="5">
        <v>1</v>
      </c>
      <c r="AD11" s="5">
        <v>144</v>
      </c>
      <c r="AE11" s="5">
        <v>137</v>
      </c>
      <c r="AF11" s="5"/>
      <c r="AG11" s="5"/>
      <c r="AH11" s="5">
        <f t="shared" si="3"/>
        <v>282</v>
      </c>
      <c r="AI11" s="5">
        <v>824</v>
      </c>
    </row>
    <row r="12" spans="1:35" ht="14.25">
      <c r="A12" s="5">
        <v>8</v>
      </c>
      <c r="B12" s="5"/>
      <c r="C12" s="5" t="s">
        <v>10</v>
      </c>
      <c r="D12" s="5">
        <v>1979</v>
      </c>
      <c r="E12" s="4">
        <v>343</v>
      </c>
      <c r="F12" s="5"/>
      <c r="G12" s="5">
        <v>9</v>
      </c>
      <c r="H12" s="5">
        <v>6</v>
      </c>
      <c r="I12" s="5">
        <v>216</v>
      </c>
      <c r="J12" s="5">
        <v>7039.1</v>
      </c>
      <c r="K12" s="8">
        <v>12081.2</v>
      </c>
      <c r="L12" s="5">
        <v>14360.6</v>
      </c>
      <c r="M12" s="8">
        <v>2211.5</v>
      </c>
      <c r="N12" s="5">
        <v>405.71</v>
      </c>
      <c r="O12" s="5">
        <v>279.6</v>
      </c>
      <c r="P12" s="8">
        <f t="shared" si="4"/>
        <v>1805.79</v>
      </c>
      <c r="Q12" s="5">
        <v>27.6</v>
      </c>
      <c r="R12" s="4">
        <f t="shared" si="1"/>
        <v>2794</v>
      </c>
      <c r="S12" s="4">
        <f t="shared" si="2"/>
        <v>2293</v>
      </c>
      <c r="T12" s="13">
        <v>1251</v>
      </c>
      <c r="U12" s="13">
        <f>665+14+102</f>
        <v>781</v>
      </c>
      <c r="V12" s="13">
        <v>261</v>
      </c>
      <c r="W12" s="4">
        <f>161+251+89</f>
        <v>501</v>
      </c>
      <c r="X12" s="13">
        <v>7740</v>
      </c>
      <c r="Y12" s="5">
        <v>91</v>
      </c>
      <c r="Z12" s="8">
        <v>1919.2</v>
      </c>
      <c r="AA12" s="5">
        <v>1878.5</v>
      </c>
      <c r="AB12" s="5">
        <v>570</v>
      </c>
      <c r="AC12" s="5">
        <v>19</v>
      </c>
      <c r="AD12" s="5">
        <v>111</v>
      </c>
      <c r="AE12" s="5">
        <v>86</v>
      </c>
      <c r="AF12" s="5"/>
      <c r="AG12" s="5"/>
      <c r="AH12" s="5">
        <f t="shared" si="3"/>
        <v>216</v>
      </c>
      <c r="AI12" s="5">
        <v>591</v>
      </c>
    </row>
    <row r="13" spans="1:35" ht="14.25">
      <c r="A13" s="5">
        <v>9</v>
      </c>
      <c r="B13" s="5"/>
      <c r="C13" s="112" t="s">
        <v>12</v>
      </c>
      <c r="D13" s="5">
        <v>1979</v>
      </c>
      <c r="E13" s="4">
        <v>345</v>
      </c>
      <c r="F13" s="5"/>
      <c r="G13" s="5">
        <v>5</v>
      </c>
      <c r="H13" s="5">
        <v>15</v>
      </c>
      <c r="I13" s="5">
        <v>221</v>
      </c>
      <c r="J13" s="5">
        <v>6621.9</v>
      </c>
      <c r="K13" s="8">
        <v>10359.1</v>
      </c>
      <c r="L13" s="5"/>
      <c r="M13" s="8">
        <v>1512.4</v>
      </c>
      <c r="N13" s="5">
        <v>116.4</v>
      </c>
      <c r="O13" s="5">
        <v>116.8</v>
      </c>
      <c r="P13" s="8">
        <f t="shared" si="4"/>
        <v>1396</v>
      </c>
      <c r="Q13" s="5">
        <v>22.5</v>
      </c>
      <c r="R13" s="4">
        <f t="shared" si="1"/>
        <v>2593</v>
      </c>
      <c r="S13" s="4">
        <f t="shared" si="2"/>
        <v>2360</v>
      </c>
      <c r="T13" s="13">
        <v>1314</v>
      </c>
      <c r="U13" s="13">
        <v>685</v>
      </c>
      <c r="V13" s="13">
        <v>361</v>
      </c>
      <c r="W13" s="4">
        <f>56+177</f>
        <v>233</v>
      </c>
      <c r="X13" s="13">
        <v>8582</v>
      </c>
      <c r="Y13" s="5">
        <v>48</v>
      </c>
      <c r="Z13" s="8">
        <v>2709.7</v>
      </c>
      <c r="AA13" s="5">
        <v>2647</v>
      </c>
      <c r="AB13" s="5">
        <v>631</v>
      </c>
      <c r="AC13" s="5">
        <v>40</v>
      </c>
      <c r="AD13" s="5">
        <v>106</v>
      </c>
      <c r="AE13" s="5">
        <v>66</v>
      </c>
      <c r="AF13" s="5">
        <v>9</v>
      </c>
      <c r="AG13" s="5"/>
      <c r="AH13" s="5">
        <f t="shared" si="3"/>
        <v>221</v>
      </c>
      <c r="AI13" s="5">
        <v>618</v>
      </c>
    </row>
    <row r="14" spans="1:35" ht="14.25">
      <c r="A14" s="5">
        <v>10</v>
      </c>
      <c r="B14" s="5"/>
      <c r="C14" s="112" t="s">
        <v>13</v>
      </c>
      <c r="D14" s="5">
        <v>1979</v>
      </c>
      <c r="E14" s="4">
        <v>346</v>
      </c>
      <c r="F14" s="5"/>
      <c r="G14" s="5">
        <v>5</v>
      </c>
      <c r="H14" s="5">
        <v>8</v>
      </c>
      <c r="I14" s="5">
        <v>109</v>
      </c>
      <c r="J14" s="5">
        <v>3332.7</v>
      </c>
      <c r="K14" s="8">
        <v>5194.7</v>
      </c>
      <c r="L14" s="5"/>
      <c r="M14" s="8">
        <v>662.2</v>
      </c>
      <c r="N14" s="5"/>
      <c r="O14" s="5">
        <v>0</v>
      </c>
      <c r="P14" s="8">
        <f t="shared" si="4"/>
        <v>662.2</v>
      </c>
      <c r="Q14" s="5">
        <v>11.7</v>
      </c>
      <c r="R14" s="4">
        <f t="shared" si="1"/>
        <v>1595</v>
      </c>
      <c r="S14" s="4">
        <f t="shared" si="2"/>
        <v>1542</v>
      </c>
      <c r="T14" s="13">
        <v>793</v>
      </c>
      <c r="U14" s="13">
        <v>457</v>
      </c>
      <c r="V14" s="13">
        <v>292</v>
      </c>
      <c r="W14" s="4">
        <v>53</v>
      </c>
      <c r="X14" s="13">
        <v>4072</v>
      </c>
      <c r="Y14" s="5">
        <v>60</v>
      </c>
      <c r="Z14" s="36">
        <v>1336</v>
      </c>
      <c r="AA14" s="5">
        <v>1336</v>
      </c>
      <c r="AB14" s="5">
        <v>318</v>
      </c>
      <c r="AC14" s="5">
        <v>19</v>
      </c>
      <c r="AD14" s="5">
        <v>49</v>
      </c>
      <c r="AE14" s="5">
        <v>31</v>
      </c>
      <c r="AF14" s="5">
        <v>10</v>
      </c>
      <c r="AG14" s="5"/>
      <c r="AH14" s="5">
        <f t="shared" si="3"/>
        <v>109</v>
      </c>
      <c r="AI14" s="5">
        <v>325</v>
      </c>
    </row>
    <row r="15" spans="1:35" ht="14.25">
      <c r="A15" s="5">
        <v>11</v>
      </c>
      <c r="B15" s="5"/>
      <c r="C15" s="112" t="s">
        <v>14</v>
      </c>
      <c r="D15" s="5">
        <v>1979</v>
      </c>
      <c r="E15" s="4">
        <v>347</v>
      </c>
      <c r="F15" s="5"/>
      <c r="G15" s="5">
        <v>5</v>
      </c>
      <c r="H15" s="5">
        <v>15</v>
      </c>
      <c r="I15" s="5">
        <v>223</v>
      </c>
      <c r="J15" s="8">
        <v>6617.1</v>
      </c>
      <c r="K15" s="8">
        <v>10316.4</v>
      </c>
      <c r="L15" s="5"/>
      <c r="M15" s="36">
        <v>1419.4</v>
      </c>
      <c r="N15" s="5">
        <v>116.81</v>
      </c>
      <c r="O15" s="5">
        <v>0</v>
      </c>
      <c r="P15" s="8">
        <f t="shared" si="4"/>
        <v>1302.5900000000001</v>
      </c>
      <c r="Q15" s="5">
        <v>23.5</v>
      </c>
      <c r="R15" s="4">
        <f t="shared" si="1"/>
        <v>2547.8</v>
      </c>
      <c r="S15" s="4">
        <f t="shared" si="2"/>
        <v>2527.4</v>
      </c>
      <c r="T15" s="13">
        <v>1329</v>
      </c>
      <c r="U15" s="13">
        <v>700.1</v>
      </c>
      <c r="V15" s="13">
        <v>498.3</v>
      </c>
      <c r="W15" s="4">
        <v>20.4</v>
      </c>
      <c r="X15" s="13">
        <v>4077.8</v>
      </c>
      <c r="Y15" s="5">
        <v>116</v>
      </c>
      <c r="Z15" s="8">
        <v>2705.7</v>
      </c>
      <c r="AA15" s="5">
        <v>2648.5</v>
      </c>
      <c r="AB15" s="5">
        <v>597</v>
      </c>
      <c r="AC15" s="5">
        <v>41</v>
      </c>
      <c r="AD15" s="5">
        <v>106</v>
      </c>
      <c r="AE15" s="5">
        <v>66</v>
      </c>
      <c r="AF15" s="5">
        <v>10</v>
      </c>
      <c r="AG15" s="5"/>
      <c r="AH15" s="5">
        <f t="shared" si="3"/>
        <v>223</v>
      </c>
      <c r="AI15" s="5">
        <v>594</v>
      </c>
    </row>
    <row r="16" spans="1:39" ht="14.25">
      <c r="A16" s="5">
        <v>12</v>
      </c>
      <c r="B16" s="5"/>
      <c r="C16" s="112" t="s">
        <v>15</v>
      </c>
      <c r="D16" s="5">
        <v>1979</v>
      </c>
      <c r="E16" s="4">
        <v>348</v>
      </c>
      <c r="F16" s="5"/>
      <c r="G16" s="5">
        <v>5</v>
      </c>
      <c r="H16" s="5">
        <v>8</v>
      </c>
      <c r="I16" s="5">
        <v>110</v>
      </c>
      <c r="J16" s="5">
        <v>2256.8</v>
      </c>
      <c r="K16" s="8">
        <v>5265.4</v>
      </c>
      <c r="L16" s="5">
        <v>5997.4</v>
      </c>
      <c r="M16" s="36">
        <v>546</v>
      </c>
      <c r="N16" s="5">
        <v>0</v>
      </c>
      <c r="O16" s="5">
        <v>0</v>
      </c>
      <c r="P16" s="8">
        <f t="shared" si="4"/>
        <v>546</v>
      </c>
      <c r="Q16" s="5">
        <v>11.7</v>
      </c>
      <c r="R16" s="4">
        <f t="shared" si="1"/>
        <v>2041</v>
      </c>
      <c r="S16" s="4">
        <f t="shared" si="2"/>
        <v>1975</v>
      </c>
      <c r="T16" s="37">
        <v>860</v>
      </c>
      <c r="U16" s="37">
        <v>959</v>
      </c>
      <c r="V16" s="37">
        <v>156</v>
      </c>
      <c r="W16" s="13">
        <v>66</v>
      </c>
      <c r="X16" s="13">
        <v>8607</v>
      </c>
      <c r="Y16" s="5">
        <v>234</v>
      </c>
      <c r="Z16" s="8">
        <v>1338.3</v>
      </c>
      <c r="AA16" s="5">
        <v>1338.3</v>
      </c>
      <c r="AB16" s="5">
        <v>285</v>
      </c>
      <c r="AC16" s="5">
        <v>20</v>
      </c>
      <c r="AD16" s="5">
        <v>50</v>
      </c>
      <c r="AE16" s="5">
        <v>30</v>
      </c>
      <c r="AF16" s="5">
        <v>10</v>
      </c>
      <c r="AG16" s="5"/>
      <c r="AH16" s="5">
        <f t="shared" si="3"/>
        <v>110</v>
      </c>
      <c r="AI16" s="5">
        <v>293</v>
      </c>
      <c r="AL16" s="24" t="s">
        <v>149</v>
      </c>
      <c r="AM16" s="24">
        <f>165+41+577</f>
        <v>783</v>
      </c>
    </row>
    <row r="17" spans="1:39" ht="29.25" customHeight="1">
      <c r="A17" s="142" t="s">
        <v>131</v>
      </c>
      <c r="B17" s="143"/>
      <c r="C17" s="143"/>
      <c r="D17" s="144"/>
      <c r="E17" s="38"/>
      <c r="F17" s="38"/>
      <c r="G17" s="38"/>
      <c r="H17" s="38">
        <f>SUM(H5:H16)</f>
        <v>149</v>
      </c>
      <c r="I17" s="38">
        <f aca="true" t="shared" si="5" ref="I17:X17">SUM(I5:I16)</f>
        <v>2998</v>
      </c>
      <c r="J17" s="39">
        <f t="shared" si="5"/>
        <v>96251.20000000001</v>
      </c>
      <c r="K17" s="39">
        <f>SUM(K5:K16)</f>
        <v>158311.3</v>
      </c>
      <c r="L17" s="39">
        <f t="shared" si="5"/>
        <v>155228.4</v>
      </c>
      <c r="M17" s="39">
        <f t="shared" si="5"/>
        <v>22848.800000000003</v>
      </c>
      <c r="N17" s="39">
        <f t="shared" si="5"/>
        <v>3144.65</v>
      </c>
      <c r="O17" s="39">
        <f t="shared" si="5"/>
        <v>2756.64</v>
      </c>
      <c r="P17" s="39">
        <f t="shared" si="5"/>
        <v>19704.15</v>
      </c>
      <c r="Q17" s="39">
        <f t="shared" si="5"/>
        <v>294.2</v>
      </c>
      <c r="R17" s="40">
        <f t="shared" si="5"/>
        <v>37088.100000000006</v>
      </c>
      <c r="S17" s="40">
        <f t="shared" si="5"/>
        <v>35167.6</v>
      </c>
      <c r="T17" s="40">
        <f t="shared" si="5"/>
        <v>17872.300000000003</v>
      </c>
      <c r="U17" s="40">
        <f t="shared" si="5"/>
        <v>12179.500000000002</v>
      </c>
      <c r="V17" s="40">
        <f t="shared" si="5"/>
        <v>5115.8</v>
      </c>
      <c r="W17" s="41">
        <f t="shared" si="5"/>
        <v>1920.5</v>
      </c>
      <c r="X17" s="40">
        <f t="shared" si="5"/>
        <v>97436.1</v>
      </c>
      <c r="Y17" s="40">
        <f aca="true" t="shared" si="6" ref="Y17:AI17">SUM(Y5:Y16)</f>
        <v>1708</v>
      </c>
      <c r="Z17" s="111">
        <f t="shared" si="6"/>
        <v>32974.8</v>
      </c>
      <c r="AA17" s="111">
        <f t="shared" si="6"/>
        <v>32179.5</v>
      </c>
      <c r="AB17" s="40">
        <f t="shared" si="6"/>
        <v>8422</v>
      </c>
      <c r="AC17" s="40">
        <f t="shared" si="6"/>
        <v>333</v>
      </c>
      <c r="AD17" s="40">
        <f t="shared" si="6"/>
        <v>1440</v>
      </c>
      <c r="AE17" s="40">
        <f t="shared" si="6"/>
        <v>1056</v>
      </c>
      <c r="AF17" s="40">
        <f t="shared" si="6"/>
        <v>135</v>
      </c>
      <c r="AG17" s="40">
        <f t="shared" si="6"/>
        <v>33</v>
      </c>
      <c r="AH17" s="40">
        <f t="shared" si="6"/>
        <v>2997</v>
      </c>
      <c r="AI17" s="40">
        <f t="shared" si="6"/>
        <v>8464</v>
      </c>
      <c r="AJ17" s="41">
        <v>434</v>
      </c>
      <c r="AM17" s="24">
        <f>40200</f>
        <v>40200</v>
      </c>
    </row>
    <row r="18" spans="1:39" s="45" customFormat="1" ht="14.25">
      <c r="A18" s="153" t="s">
        <v>17</v>
      </c>
      <c r="B18" s="154"/>
      <c r="C18" s="154"/>
      <c r="D18" s="155"/>
      <c r="E18" s="135">
        <v>8</v>
      </c>
      <c r="F18" s="141"/>
      <c r="G18" s="136"/>
      <c r="H18" s="5">
        <f>H6+H7+H8+H9+H13+H14+H15+H16</f>
        <v>110</v>
      </c>
      <c r="I18" s="5">
        <f>I6+I7+I8+I9+I13+I14+I15+I16</f>
        <v>1640</v>
      </c>
      <c r="J18" s="8">
        <f>J6+J7+J8+J9+J13+J14+J15+J16</f>
        <v>48421.1</v>
      </c>
      <c r="K18" s="6">
        <f>K6+K7+K8+K9+K13+K14+K15+K16</f>
        <v>77596.29999999999</v>
      </c>
      <c r="L18" s="5"/>
      <c r="M18" s="8">
        <f aca="true" t="shared" si="7" ref="M18:AI18">M6+M7+M8+M9+M13+M14+M15+M16</f>
        <v>9803.9</v>
      </c>
      <c r="N18" s="8">
        <f t="shared" si="7"/>
        <v>865.03</v>
      </c>
      <c r="O18" s="8">
        <f t="shared" si="7"/>
        <v>759.1999999999999</v>
      </c>
      <c r="P18" s="8">
        <f t="shared" si="7"/>
        <v>8938.869999999999</v>
      </c>
      <c r="Q18" s="5">
        <f t="shared" si="7"/>
        <v>169.69999999999996</v>
      </c>
      <c r="R18" s="4">
        <f t="shared" si="7"/>
        <v>21989.5</v>
      </c>
      <c r="S18" s="4">
        <f t="shared" si="7"/>
        <v>21091.600000000002</v>
      </c>
      <c r="T18" s="4">
        <f t="shared" si="7"/>
        <v>11296.6</v>
      </c>
      <c r="U18" s="4">
        <f t="shared" si="7"/>
        <v>6589.200000000001</v>
      </c>
      <c r="V18" s="4">
        <f t="shared" si="7"/>
        <v>3205.8</v>
      </c>
      <c r="W18" s="4">
        <f t="shared" si="7"/>
        <v>897.9</v>
      </c>
      <c r="X18" s="13">
        <f t="shared" si="7"/>
        <v>59195.8</v>
      </c>
      <c r="Y18" s="5">
        <f t="shared" si="7"/>
        <v>1041</v>
      </c>
      <c r="Z18" s="8">
        <f t="shared" si="7"/>
        <v>19952.6</v>
      </c>
      <c r="AA18" s="5">
        <f t="shared" si="7"/>
        <v>19367.3</v>
      </c>
      <c r="AB18" s="5">
        <f t="shared" si="7"/>
        <v>4564</v>
      </c>
      <c r="AC18" s="5">
        <f t="shared" si="7"/>
        <v>260</v>
      </c>
      <c r="AD18" s="5">
        <f t="shared" si="7"/>
        <v>814</v>
      </c>
      <c r="AE18" s="5">
        <f t="shared" si="7"/>
        <v>485</v>
      </c>
      <c r="AF18" s="5">
        <f t="shared" si="7"/>
        <v>80</v>
      </c>
      <c r="AG18" s="5">
        <f t="shared" si="7"/>
        <v>0</v>
      </c>
      <c r="AH18" s="5">
        <f t="shared" si="7"/>
        <v>1639</v>
      </c>
      <c r="AI18" s="5">
        <f t="shared" si="7"/>
        <v>4558</v>
      </c>
      <c r="AJ18" s="24"/>
      <c r="AM18" s="45">
        <v>1407</v>
      </c>
    </row>
    <row r="19" spans="1:36" s="45" customFormat="1" ht="14.25">
      <c r="A19" s="156" t="s">
        <v>18</v>
      </c>
      <c r="B19" s="157"/>
      <c r="C19" s="157"/>
      <c r="D19" s="158"/>
      <c r="E19" s="135">
        <v>4</v>
      </c>
      <c r="F19" s="141"/>
      <c r="G19" s="136"/>
      <c r="H19" s="5">
        <f>H5+H10+H11+H12</f>
        <v>39</v>
      </c>
      <c r="I19" s="5">
        <f aca="true" t="shared" si="8" ref="I19:AI19">I5+I10+I11+I12</f>
        <v>1358</v>
      </c>
      <c r="J19" s="5">
        <f t="shared" si="8"/>
        <v>47830.1</v>
      </c>
      <c r="K19" s="5">
        <f t="shared" si="8"/>
        <v>80714.99999999999</v>
      </c>
      <c r="L19" s="5">
        <f t="shared" si="8"/>
        <v>95805.8</v>
      </c>
      <c r="M19" s="5">
        <f t="shared" si="8"/>
        <v>13044.9</v>
      </c>
      <c r="N19" s="5">
        <f t="shared" si="8"/>
        <v>2279.62</v>
      </c>
      <c r="O19" s="5">
        <f t="shared" si="8"/>
        <v>1997.44</v>
      </c>
      <c r="P19" s="5">
        <f t="shared" si="8"/>
        <v>10765.279999999999</v>
      </c>
      <c r="Q19" s="5">
        <f t="shared" si="8"/>
        <v>124.5</v>
      </c>
      <c r="R19" s="4">
        <f t="shared" si="8"/>
        <v>15098.6</v>
      </c>
      <c r="S19" s="4">
        <f t="shared" si="8"/>
        <v>14076</v>
      </c>
      <c r="T19" s="4">
        <f t="shared" si="8"/>
        <v>6575.7</v>
      </c>
      <c r="U19" s="4">
        <f t="shared" si="8"/>
        <v>5590.3</v>
      </c>
      <c r="V19" s="4">
        <f t="shared" si="8"/>
        <v>1910</v>
      </c>
      <c r="W19" s="4">
        <f t="shared" si="8"/>
        <v>1022.6</v>
      </c>
      <c r="X19" s="4">
        <f t="shared" si="8"/>
        <v>38240.3</v>
      </c>
      <c r="Y19" s="5">
        <f t="shared" si="8"/>
        <v>667</v>
      </c>
      <c r="Z19" s="5">
        <f t="shared" si="8"/>
        <v>13022.2</v>
      </c>
      <c r="AA19" s="5">
        <f t="shared" si="8"/>
        <v>12812.199999999999</v>
      </c>
      <c r="AB19" s="5">
        <f t="shared" si="8"/>
        <v>3858</v>
      </c>
      <c r="AC19" s="5">
        <f t="shared" si="8"/>
        <v>73</v>
      </c>
      <c r="AD19" s="5">
        <f t="shared" si="8"/>
        <v>626</v>
      </c>
      <c r="AE19" s="5">
        <f t="shared" si="8"/>
        <v>571</v>
      </c>
      <c r="AF19" s="5">
        <f t="shared" si="8"/>
        <v>55</v>
      </c>
      <c r="AG19" s="5">
        <f t="shared" si="8"/>
        <v>33</v>
      </c>
      <c r="AH19" s="5">
        <f t="shared" si="8"/>
        <v>1358</v>
      </c>
      <c r="AI19" s="5">
        <f t="shared" si="8"/>
        <v>3906</v>
      </c>
      <c r="AJ19" s="24"/>
    </row>
    <row r="20" spans="1:34" ht="14.25" hidden="1">
      <c r="A20" s="153" t="s">
        <v>19</v>
      </c>
      <c r="B20" s="154"/>
      <c r="C20" s="154"/>
      <c r="D20" s="155"/>
      <c r="E20" s="5"/>
      <c r="F20" s="5"/>
      <c r="G20" s="5"/>
      <c r="H20" s="5"/>
      <c r="I20" s="5"/>
      <c r="J20" s="5"/>
      <c r="K20" s="5"/>
      <c r="L20" s="5"/>
      <c r="M20" s="8"/>
      <c r="N20" s="8"/>
      <c r="O20" s="8"/>
      <c r="P20" s="8"/>
      <c r="Q20" s="5"/>
      <c r="R20" s="4"/>
      <c r="S20" s="4"/>
      <c r="T20" s="4"/>
      <c r="U20" s="4"/>
      <c r="V20" s="4"/>
      <c r="W20" s="4"/>
      <c r="X20" s="13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14.25">
      <c r="A21" s="49"/>
      <c r="B21" s="49"/>
      <c r="C21" s="49"/>
      <c r="D21" s="49"/>
      <c r="E21" s="45"/>
      <c r="F21" s="45"/>
      <c r="G21" s="45"/>
      <c r="H21" s="45"/>
      <c r="I21" s="45"/>
      <c r="J21" s="45"/>
      <c r="K21" s="45"/>
      <c r="L21" s="45"/>
      <c r="M21" s="50"/>
      <c r="N21" s="50"/>
      <c r="O21" s="50"/>
      <c r="P21" s="50"/>
      <c r="Q21" s="45"/>
      <c r="R21" s="51"/>
      <c r="S21" s="51"/>
      <c r="T21" s="51"/>
      <c r="U21" s="51"/>
      <c r="V21" s="51"/>
      <c r="W21" s="51"/>
      <c r="X21" s="52"/>
      <c r="Y21" s="45"/>
      <c r="Z21" s="45"/>
      <c r="AA21" s="45"/>
      <c r="AB21" s="45"/>
      <c r="AC21" s="45"/>
      <c r="AD21" s="45"/>
      <c r="AE21" s="45"/>
      <c r="AF21" s="45"/>
      <c r="AG21" s="45"/>
      <c r="AH21" s="45"/>
    </row>
    <row r="22" spans="1:35" ht="14.25">
      <c r="A22" s="5">
        <v>9</v>
      </c>
      <c r="B22" s="5"/>
      <c r="C22" s="5" t="s">
        <v>11</v>
      </c>
      <c r="D22" s="5">
        <v>1981</v>
      </c>
      <c r="E22" s="4">
        <v>551</v>
      </c>
      <c r="F22" s="5"/>
      <c r="G22" s="5">
        <v>9</v>
      </c>
      <c r="H22" s="5">
        <v>14</v>
      </c>
      <c r="I22" s="5">
        <v>486</v>
      </c>
      <c r="J22" s="5">
        <v>17390</v>
      </c>
      <c r="K22" s="8">
        <v>29252.2</v>
      </c>
      <c r="L22" s="5">
        <v>7174.3</v>
      </c>
      <c r="M22" s="8">
        <v>4423.5</v>
      </c>
      <c r="N22" s="5">
        <v>463.74</v>
      </c>
      <c r="O22" s="5">
        <v>463.74</v>
      </c>
      <c r="P22" s="8">
        <f>M22-O22</f>
        <v>3959.76</v>
      </c>
      <c r="Q22" s="5">
        <v>36.6</v>
      </c>
      <c r="R22" s="13">
        <f>2948+2688+658</f>
        <v>6294</v>
      </c>
      <c r="S22" s="4">
        <f>T22+U22+V22</f>
        <v>6294</v>
      </c>
      <c r="T22" s="13">
        <v>2948</v>
      </c>
      <c r="U22" s="13">
        <v>2688</v>
      </c>
      <c r="V22" s="13">
        <v>658</v>
      </c>
      <c r="W22" s="53">
        <f>108+791</f>
        <v>899</v>
      </c>
      <c r="X22" s="13">
        <v>16761</v>
      </c>
      <c r="Y22" s="5">
        <v>247</v>
      </c>
      <c r="Z22" s="8">
        <v>4664.6</v>
      </c>
      <c r="AA22" s="5">
        <v>4649.6</v>
      </c>
      <c r="AB22" s="5">
        <v>1418</v>
      </c>
      <c r="AC22" s="5">
        <v>39</v>
      </c>
      <c r="AD22" s="5">
        <v>199</v>
      </c>
      <c r="AE22" s="5">
        <v>196</v>
      </c>
      <c r="AF22" s="5">
        <v>37</v>
      </c>
      <c r="AG22" s="5">
        <v>15</v>
      </c>
      <c r="AH22" s="5">
        <f>AC22+AD22+AE22+AF22+AG22</f>
        <v>486</v>
      </c>
      <c r="AI22" s="5">
        <v>1416</v>
      </c>
    </row>
    <row r="23" spans="1:34" ht="14.25">
      <c r="A23" s="49"/>
      <c r="B23" s="49"/>
      <c r="C23" s="49"/>
      <c r="D23" s="49"/>
      <c r="E23" s="45"/>
      <c r="F23" s="45"/>
      <c r="G23" s="45"/>
      <c r="H23" s="45"/>
      <c r="I23" s="45"/>
      <c r="J23" s="45"/>
      <c r="K23" s="45"/>
      <c r="L23" s="45"/>
      <c r="M23" s="50"/>
      <c r="N23" s="50"/>
      <c r="O23" s="50"/>
      <c r="P23" s="50"/>
      <c r="Q23" s="45"/>
      <c r="R23" s="51"/>
      <c r="S23" s="51"/>
      <c r="T23" s="51"/>
      <c r="U23" s="51"/>
      <c r="V23" s="51"/>
      <c r="W23" s="51"/>
      <c r="X23" s="52"/>
      <c r="Y23" s="45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3:24" ht="15">
      <c r="C24" s="29" t="s">
        <v>56</v>
      </c>
      <c r="R24" s="54"/>
      <c r="S24" s="54"/>
      <c r="T24" s="54"/>
      <c r="U24" s="54"/>
      <c r="V24" s="54"/>
      <c r="W24" s="54"/>
      <c r="X24" s="54"/>
    </row>
    <row r="25" spans="3:24" ht="15">
      <c r="C25" s="29" t="s">
        <v>126</v>
      </c>
      <c r="J25" s="118" t="s">
        <v>160</v>
      </c>
      <c r="M25" s="24" t="s">
        <v>121</v>
      </c>
      <c r="R25" s="54"/>
      <c r="S25" s="119"/>
      <c r="T25" s="54"/>
      <c r="U25" s="31"/>
      <c r="V25" s="54"/>
      <c r="W25" s="54"/>
      <c r="X25" s="54"/>
    </row>
    <row r="26" spans="1:35" s="35" customFormat="1" ht="126.75" customHeight="1">
      <c r="A26" s="32" t="s">
        <v>0</v>
      </c>
      <c r="B26" s="32"/>
      <c r="C26" s="33" t="s">
        <v>1</v>
      </c>
      <c r="D26" s="34" t="s">
        <v>74</v>
      </c>
      <c r="E26" s="34" t="s">
        <v>72</v>
      </c>
      <c r="F26" s="33" t="s">
        <v>73</v>
      </c>
      <c r="G26" s="34" t="s">
        <v>57</v>
      </c>
      <c r="H26" s="34" t="s">
        <v>58</v>
      </c>
      <c r="I26" s="34" t="s">
        <v>59</v>
      </c>
      <c r="J26" s="34" t="s">
        <v>60</v>
      </c>
      <c r="K26" s="34" t="s">
        <v>2</v>
      </c>
      <c r="L26" s="33" t="s">
        <v>113</v>
      </c>
      <c r="M26" s="34" t="s">
        <v>154</v>
      </c>
      <c r="N26" s="34" t="s">
        <v>61</v>
      </c>
      <c r="O26" s="34" t="s">
        <v>155</v>
      </c>
      <c r="P26" s="34" t="s">
        <v>156</v>
      </c>
      <c r="Q26" s="34" t="s">
        <v>62</v>
      </c>
      <c r="R26" s="34" t="s">
        <v>63</v>
      </c>
      <c r="S26" s="34" t="s">
        <v>84</v>
      </c>
      <c r="T26" s="105" t="s">
        <v>81</v>
      </c>
      <c r="U26" s="105" t="s">
        <v>82</v>
      </c>
      <c r="V26" s="105" t="s">
        <v>83</v>
      </c>
      <c r="W26" s="105" t="s">
        <v>122</v>
      </c>
      <c r="X26" s="105" t="s">
        <v>64</v>
      </c>
      <c r="Y26" s="55" t="s">
        <v>65</v>
      </c>
      <c r="Z26" s="34" t="s">
        <v>123</v>
      </c>
      <c r="AA26" s="56" t="s">
        <v>124</v>
      </c>
      <c r="AB26" s="34" t="s">
        <v>66</v>
      </c>
      <c r="AC26" s="33" t="s">
        <v>67</v>
      </c>
      <c r="AD26" s="33" t="s">
        <v>68</v>
      </c>
      <c r="AE26" s="33" t="s">
        <v>69</v>
      </c>
      <c r="AF26" s="33" t="s">
        <v>70</v>
      </c>
      <c r="AG26" s="33" t="s">
        <v>71</v>
      </c>
      <c r="AH26" s="33" t="s">
        <v>77</v>
      </c>
      <c r="AI26" s="34" t="s">
        <v>66</v>
      </c>
    </row>
    <row r="27" spans="1:35" ht="14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4"/>
      <c r="S27" s="4"/>
      <c r="T27" s="4"/>
      <c r="U27" s="4"/>
      <c r="V27" s="4"/>
      <c r="W27" s="4"/>
      <c r="X27" s="4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4.25">
      <c r="A28" s="5">
        <v>1</v>
      </c>
      <c r="B28" s="5"/>
      <c r="C28" s="112" t="s">
        <v>20</v>
      </c>
      <c r="D28" s="5">
        <v>1979</v>
      </c>
      <c r="E28" s="5">
        <v>349</v>
      </c>
      <c r="F28" s="5"/>
      <c r="G28" s="5">
        <v>9</v>
      </c>
      <c r="H28" s="5">
        <v>6</v>
      </c>
      <c r="I28" s="5">
        <v>216</v>
      </c>
      <c r="J28" s="5">
        <v>6958.8</v>
      </c>
      <c r="K28" s="5">
        <v>11934.5</v>
      </c>
      <c r="L28" s="5">
        <v>14135.9</v>
      </c>
      <c r="M28" s="8">
        <v>1934</v>
      </c>
      <c r="N28" s="5">
        <v>409.45</v>
      </c>
      <c r="O28" s="57">
        <v>0</v>
      </c>
      <c r="P28" s="8">
        <f aca="true" t="shared" si="9" ref="P28:P46">M28-N28</f>
        <v>1524.55</v>
      </c>
      <c r="Q28" s="8">
        <v>21</v>
      </c>
      <c r="R28" s="4">
        <f>T28+U28+V28+W28</f>
        <v>2639</v>
      </c>
      <c r="S28" s="58">
        <f>T28+U28+V28</f>
        <v>2639</v>
      </c>
      <c r="T28" s="4">
        <v>1229</v>
      </c>
      <c r="U28" s="4">
        <v>1004</v>
      </c>
      <c r="V28" s="4">
        <v>406</v>
      </c>
      <c r="W28" s="4"/>
      <c r="X28" s="4">
        <v>3958</v>
      </c>
      <c r="Y28" s="5">
        <v>156</v>
      </c>
      <c r="Z28" s="5">
        <v>2061.9</v>
      </c>
      <c r="AA28" s="5">
        <v>1916.9</v>
      </c>
      <c r="AB28" s="5">
        <v>580</v>
      </c>
      <c r="AC28" s="5">
        <v>24</v>
      </c>
      <c r="AD28" s="5">
        <v>101</v>
      </c>
      <c r="AE28" s="5">
        <v>91</v>
      </c>
      <c r="AF28" s="5"/>
      <c r="AG28" s="5"/>
      <c r="AH28" s="5">
        <f aca="true" t="shared" si="10" ref="AH28:AH44">SUM(AC28:AG28)</f>
        <v>216</v>
      </c>
      <c r="AI28" s="5">
        <v>617</v>
      </c>
    </row>
    <row r="29" spans="1:35" ht="14.25">
      <c r="A29" s="5">
        <v>2</v>
      </c>
      <c r="B29" s="5"/>
      <c r="C29" s="112" t="s">
        <v>21</v>
      </c>
      <c r="D29" s="5">
        <v>1978</v>
      </c>
      <c r="E29" s="5">
        <v>350</v>
      </c>
      <c r="F29" s="5"/>
      <c r="G29" s="5">
        <v>9</v>
      </c>
      <c r="H29" s="5">
        <v>12</v>
      </c>
      <c r="I29" s="5">
        <v>407</v>
      </c>
      <c r="J29" s="5">
        <v>14538</v>
      </c>
      <c r="K29" s="5">
        <v>24375.3</v>
      </c>
      <c r="L29" s="5">
        <v>32622.8</v>
      </c>
      <c r="M29" s="8">
        <v>3871</v>
      </c>
      <c r="N29" s="5">
        <v>840.21</v>
      </c>
      <c r="O29" s="57">
        <f>750.742-283.8</f>
        <v>466.94199999999995</v>
      </c>
      <c r="P29" s="8">
        <f t="shared" si="9"/>
        <v>3030.79</v>
      </c>
      <c r="Q29" s="8">
        <v>45</v>
      </c>
      <c r="R29" s="4">
        <f aca="true" t="shared" si="11" ref="R29:R46">T29+U29+V29+W29</f>
        <v>5426</v>
      </c>
      <c r="S29" s="58">
        <f aca="true" t="shared" si="12" ref="S29:S46">T29+U29+V29</f>
        <v>4226</v>
      </c>
      <c r="T29" s="4">
        <v>2273</v>
      </c>
      <c r="U29" s="4">
        <v>1379</v>
      </c>
      <c r="V29" s="4">
        <v>574</v>
      </c>
      <c r="W29" s="114">
        <v>1200</v>
      </c>
      <c r="X29" s="4">
        <v>7224</v>
      </c>
      <c r="Y29" s="5">
        <v>189</v>
      </c>
      <c r="Z29" s="5">
        <v>3948.26</v>
      </c>
      <c r="AA29" s="5">
        <v>3948.26</v>
      </c>
      <c r="AB29" s="5">
        <v>1205</v>
      </c>
      <c r="AC29" s="5">
        <v>14</v>
      </c>
      <c r="AD29" s="5">
        <v>180</v>
      </c>
      <c r="AE29" s="5">
        <v>178</v>
      </c>
      <c r="AF29" s="5">
        <v>22</v>
      </c>
      <c r="AG29" s="5">
        <v>13</v>
      </c>
      <c r="AH29" s="5">
        <f t="shared" si="10"/>
        <v>407</v>
      </c>
      <c r="AI29" s="5">
        <v>1315</v>
      </c>
    </row>
    <row r="30" spans="1:35" ht="14.25">
      <c r="A30" s="5">
        <v>3</v>
      </c>
      <c r="B30" s="5"/>
      <c r="C30" s="112" t="s">
        <v>22</v>
      </c>
      <c r="D30" s="5">
        <v>1978</v>
      </c>
      <c r="E30" s="5">
        <v>351</v>
      </c>
      <c r="F30" s="5"/>
      <c r="G30" s="5">
        <v>5</v>
      </c>
      <c r="H30" s="5">
        <v>7</v>
      </c>
      <c r="I30" s="5">
        <v>94</v>
      </c>
      <c r="J30" s="5">
        <v>2926.1</v>
      </c>
      <c r="K30" s="5">
        <v>4584.1</v>
      </c>
      <c r="L30" s="5"/>
      <c r="M30" s="8">
        <v>494</v>
      </c>
      <c r="N30" s="5">
        <v>0</v>
      </c>
      <c r="O30" s="57">
        <v>0</v>
      </c>
      <c r="P30" s="8">
        <f t="shared" si="9"/>
        <v>494</v>
      </c>
      <c r="Q30" s="5">
        <v>10.1</v>
      </c>
      <c r="R30" s="4">
        <f t="shared" si="11"/>
        <v>1969</v>
      </c>
      <c r="S30" s="58">
        <f t="shared" si="12"/>
        <v>1380</v>
      </c>
      <c r="T30" s="4">
        <v>512</v>
      </c>
      <c r="U30" s="4">
        <v>721</v>
      </c>
      <c r="V30" s="4">
        <v>147</v>
      </c>
      <c r="W30" s="4">
        <v>589</v>
      </c>
      <c r="X30" s="4">
        <v>4085</v>
      </c>
      <c r="Y30" s="5">
        <v>175</v>
      </c>
      <c r="Z30" s="5">
        <v>1177.8</v>
      </c>
      <c r="AA30" s="5">
        <v>1177.8</v>
      </c>
      <c r="AB30" s="5">
        <v>258</v>
      </c>
      <c r="AC30" s="5">
        <v>19</v>
      </c>
      <c r="AD30" s="5">
        <v>35</v>
      </c>
      <c r="AE30" s="5">
        <v>30</v>
      </c>
      <c r="AF30" s="5">
        <v>10</v>
      </c>
      <c r="AG30" s="5"/>
      <c r="AH30" s="5">
        <f t="shared" si="10"/>
        <v>94</v>
      </c>
      <c r="AI30" s="5">
        <v>272</v>
      </c>
    </row>
    <row r="31" spans="1:35" ht="14.25">
      <c r="A31" s="5">
        <v>4</v>
      </c>
      <c r="B31" s="5"/>
      <c r="C31" s="11" t="s">
        <v>23</v>
      </c>
      <c r="D31" s="5">
        <v>1978</v>
      </c>
      <c r="E31" s="5">
        <v>352</v>
      </c>
      <c r="F31" s="5"/>
      <c r="G31" s="5">
        <v>5</v>
      </c>
      <c r="H31" s="5">
        <v>15</v>
      </c>
      <c r="I31" s="5">
        <v>223</v>
      </c>
      <c r="J31" s="5">
        <v>6536.5</v>
      </c>
      <c r="K31" s="5">
        <v>10383.6</v>
      </c>
      <c r="L31" s="5">
        <v>11871.4</v>
      </c>
      <c r="M31" s="8">
        <v>1498</v>
      </c>
      <c r="N31" s="5">
        <v>71.44</v>
      </c>
      <c r="O31" s="57">
        <v>58.4</v>
      </c>
      <c r="P31" s="8">
        <f t="shared" si="9"/>
        <v>1426.56</v>
      </c>
      <c r="Q31" s="5">
        <v>22.5</v>
      </c>
      <c r="R31" s="4">
        <f t="shared" si="11"/>
        <v>2556.7</v>
      </c>
      <c r="S31" s="58">
        <f t="shared" si="12"/>
        <v>2425.7</v>
      </c>
      <c r="T31" s="4">
        <v>1295.8</v>
      </c>
      <c r="U31" s="4">
        <v>659.4</v>
      </c>
      <c r="V31" s="4">
        <v>470.5</v>
      </c>
      <c r="W31" s="113">
        <v>131</v>
      </c>
      <c r="X31" s="4">
        <v>4208.8</v>
      </c>
      <c r="Y31" s="5">
        <v>178</v>
      </c>
      <c r="Z31" s="5">
        <v>3442.4</v>
      </c>
      <c r="AA31" s="5">
        <v>2650.7</v>
      </c>
      <c r="AB31" s="5">
        <v>663</v>
      </c>
      <c r="AC31" s="5">
        <v>36</v>
      </c>
      <c r="AD31" s="5">
        <v>116</v>
      </c>
      <c r="AE31" s="5">
        <v>61</v>
      </c>
      <c r="AF31" s="5">
        <v>10</v>
      </c>
      <c r="AG31" s="5"/>
      <c r="AH31" s="5">
        <f t="shared" si="10"/>
        <v>223</v>
      </c>
      <c r="AI31" s="5">
        <v>696</v>
      </c>
    </row>
    <row r="32" spans="1:35" ht="14.25">
      <c r="A32" s="5">
        <v>5</v>
      </c>
      <c r="B32" s="5"/>
      <c r="C32" s="112" t="s">
        <v>24</v>
      </c>
      <c r="D32" s="5">
        <v>1979</v>
      </c>
      <c r="E32" s="5">
        <v>353</v>
      </c>
      <c r="F32" s="5"/>
      <c r="G32" s="5">
        <v>5</v>
      </c>
      <c r="H32" s="5">
        <v>7</v>
      </c>
      <c r="I32" s="5">
        <v>94</v>
      </c>
      <c r="J32" s="5">
        <v>2916.6</v>
      </c>
      <c r="K32" s="5">
        <v>4530.5</v>
      </c>
      <c r="L32" s="5">
        <v>5160</v>
      </c>
      <c r="M32" s="5">
        <v>549.4</v>
      </c>
      <c r="N32" s="5">
        <v>0</v>
      </c>
      <c r="O32" s="57">
        <v>0</v>
      </c>
      <c r="P32" s="8">
        <f t="shared" si="9"/>
        <v>549.4</v>
      </c>
      <c r="Q32" s="5">
        <v>10.5</v>
      </c>
      <c r="R32" s="4">
        <f t="shared" si="11"/>
        <v>1850</v>
      </c>
      <c r="S32" s="58">
        <f t="shared" si="12"/>
        <v>1700</v>
      </c>
      <c r="T32" s="4">
        <v>1069</v>
      </c>
      <c r="U32" s="4">
        <v>385</v>
      </c>
      <c r="V32" s="4">
        <v>246</v>
      </c>
      <c r="W32" s="4">
        <v>150</v>
      </c>
      <c r="X32" s="4">
        <v>5216</v>
      </c>
      <c r="Y32" s="5">
        <v>56</v>
      </c>
      <c r="Z32" s="5">
        <v>1154</v>
      </c>
      <c r="AA32" s="5">
        <v>963.2</v>
      </c>
      <c r="AB32" s="5">
        <v>273</v>
      </c>
      <c r="AC32" s="5">
        <v>17</v>
      </c>
      <c r="AD32" s="5">
        <v>33</v>
      </c>
      <c r="AE32" s="5">
        <v>29</v>
      </c>
      <c r="AF32" s="5">
        <v>10</v>
      </c>
      <c r="AG32" s="5"/>
      <c r="AH32" s="5">
        <f t="shared" si="10"/>
        <v>89</v>
      </c>
      <c r="AI32" s="5">
        <v>277</v>
      </c>
    </row>
    <row r="33" spans="1:35" ht="14.25" hidden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>
        <v>2975.5</v>
      </c>
      <c r="M33" s="5"/>
      <c r="N33" s="5">
        <v>0</v>
      </c>
      <c r="O33" s="57">
        <v>0</v>
      </c>
      <c r="P33" s="8">
        <f t="shared" si="9"/>
        <v>0</v>
      </c>
      <c r="Q33" s="5"/>
      <c r="R33" s="4">
        <f t="shared" si="11"/>
        <v>0</v>
      </c>
      <c r="S33" s="58"/>
      <c r="T33" s="4"/>
      <c r="U33" s="4"/>
      <c r="V33" s="4"/>
      <c r="W33" s="4"/>
      <c r="X33" s="4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14.25">
      <c r="A34" s="5">
        <v>6</v>
      </c>
      <c r="B34" s="5"/>
      <c r="C34" s="112" t="s">
        <v>26</v>
      </c>
      <c r="D34" s="5">
        <v>1979</v>
      </c>
      <c r="E34" s="5">
        <v>355</v>
      </c>
      <c r="F34" s="5"/>
      <c r="G34" s="5">
        <v>9</v>
      </c>
      <c r="H34" s="5">
        <v>7</v>
      </c>
      <c r="I34" s="5">
        <v>251</v>
      </c>
      <c r="J34" s="5">
        <v>8662</v>
      </c>
      <c r="K34" s="5">
        <v>14765.6</v>
      </c>
      <c r="L34" s="5">
        <v>17410.9</v>
      </c>
      <c r="M34" s="5">
        <v>2282.7</v>
      </c>
      <c r="N34" s="5">
        <v>647.67</v>
      </c>
      <c r="O34" s="57">
        <f>451.28-283.8</f>
        <v>167.47999999999996</v>
      </c>
      <c r="P34" s="8">
        <f t="shared" si="9"/>
        <v>1635.0299999999997</v>
      </c>
      <c r="Q34" s="5">
        <v>21.7</v>
      </c>
      <c r="R34" s="4">
        <f t="shared" si="11"/>
        <v>4284</v>
      </c>
      <c r="S34" s="58">
        <f t="shared" si="12"/>
        <v>4177</v>
      </c>
      <c r="T34" s="4">
        <v>2224</v>
      </c>
      <c r="U34" s="4">
        <v>1413</v>
      </c>
      <c r="V34" s="4">
        <v>540</v>
      </c>
      <c r="W34" s="4">
        <f>20+87</f>
        <v>107</v>
      </c>
      <c r="X34" s="4">
        <v>17014</v>
      </c>
      <c r="Y34" s="5">
        <v>472</v>
      </c>
      <c r="Z34" s="5">
        <v>2346.8</v>
      </c>
      <c r="AA34" s="8">
        <v>2346.8</v>
      </c>
      <c r="AB34" s="5">
        <v>759</v>
      </c>
      <c r="AC34" s="5">
        <v>1</v>
      </c>
      <c r="AD34" s="5">
        <v>129</v>
      </c>
      <c r="AE34" s="5">
        <v>120</v>
      </c>
      <c r="AF34" s="5">
        <v>1</v>
      </c>
      <c r="AG34" s="5"/>
      <c r="AH34" s="5">
        <f t="shared" si="10"/>
        <v>251</v>
      </c>
      <c r="AI34" s="5">
        <v>782</v>
      </c>
    </row>
    <row r="35" spans="1:35" ht="14.25">
      <c r="A35" s="5">
        <v>7</v>
      </c>
      <c r="B35" s="5"/>
      <c r="C35" s="11" t="s">
        <v>27</v>
      </c>
      <c r="D35" s="5">
        <v>1979</v>
      </c>
      <c r="E35" s="5">
        <v>356</v>
      </c>
      <c r="F35" s="5"/>
      <c r="G35" s="5">
        <v>9</v>
      </c>
      <c r="H35" s="5">
        <v>8</v>
      </c>
      <c r="I35" s="5">
        <v>278</v>
      </c>
      <c r="J35" s="5">
        <v>9568.1</v>
      </c>
      <c r="K35" s="5">
        <v>16038.6</v>
      </c>
      <c r="L35" s="5">
        <v>19133.4</v>
      </c>
      <c r="M35" s="5">
        <v>2592.5</v>
      </c>
      <c r="N35" s="5">
        <v>490.87</v>
      </c>
      <c r="O35" s="57">
        <f>417.609-283.8</f>
        <v>133.80899999999997</v>
      </c>
      <c r="P35" s="8">
        <f t="shared" si="9"/>
        <v>2101.63</v>
      </c>
      <c r="Q35" s="5">
        <v>24.9</v>
      </c>
      <c r="R35" s="4">
        <f t="shared" si="11"/>
        <v>2699.7000000000007</v>
      </c>
      <c r="S35" s="58">
        <f t="shared" si="12"/>
        <v>2482.9000000000005</v>
      </c>
      <c r="T35" s="107">
        <f>1402.5+1.4</f>
        <v>1403.9</v>
      </c>
      <c r="U35" s="4">
        <f>739.2</f>
        <v>739.2</v>
      </c>
      <c r="V35" s="4">
        <v>339.8</v>
      </c>
      <c r="W35" s="4">
        <v>216.8</v>
      </c>
      <c r="X35" s="4">
        <v>4745.1</v>
      </c>
      <c r="Y35" s="5">
        <v>269</v>
      </c>
      <c r="Z35" s="5">
        <v>2588.3</v>
      </c>
      <c r="AA35" s="5">
        <v>2505.6</v>
      </c>
      <c r="AB35" s="5">
        <v>794</v>
      </c>
      <c r="AC35" s="5">
        <v>39</v>
      </c>
      <c r="AD35" s="5">
        <v>109</v>
      </c>
      <c r="AE35" s="5">
        <v>96</v>
      </c>
      <c r="AF35" s="5">
        <v>26</v>
      </c>
      <c r="AG35" s="5">
        <v>8</v>
      </c>
      <c r="AH35" s="5">
        <f t="shared" si="10"/>
        <v>278</v>
      </c>
      <c r="AI35" s="5">
        <v>844</v>
      </c>
    </row>
    <row r="36" spans="1:35" ht="14.25">
      <c r="A36" s="5">
        <v>8</v>
      </c>
      <c r="B36" s="5"/>
      <c r="C36" s="11" t="s">
        <v>28</v>
      </c>
      <c r="D36" s="5">
        <v>1978</v>
      </c>
      <c r="E36" s="5">
        <v>365</v>
      </c>
      <c r="F36" s="5"/>
      <c r="G36" s="5">
        <v>5</v>
      </c>
      <c r="H36" s="5">
        <v>30</v>
      </c>
      <c r="I36" s="5">
        <v>444</v>
      </c>
      <c r="J36" s="117">
        <v>13108.5</v>
      </c>
      <c r="K36" s="117">
        <v>20542.8</v>
      </c>
      <c r="L36" s="5">
        <v>23754.9</v>
      </c>
      <c r="M36" s="5">
        <f>2389.7+306.7</f>
        <v>2696.3999999999996</v>
      </c>
      <c r="N36" s="5">
        <v>204.4</v>
      </c>
      <c r="O36" s="57">
        <f>204.4-122.2</f>
        <v>82.2</v>
      </c>
      <c r="P36" s="8">
        <f t="shared" si="9"/>
        <v>2491.9999999999995</v>
      </c>
      <c r="Q36" s="5">
        <v>42</v>
      </c>
      <c r="R36" s="4">
        <f t="shared" si="11"/>
        <v>4909</v>
      </c>
      <c r="S36" s="58">
        <f t="shared" si="12"/>
        <v>4362.2</v>
      </c>
      <c r="T36" s="4">
        <v>2166</v>
      </c>
      <c r="U36" s="4">
        <v>1507</v>
      </c>
      <c r="V36" s="4">
        <v>689.2</v>
      </c>
      <c r="W36" s="4">
        <f>78+117.7+351.1</f>
        <v>546.8</v>
      </c>
      <c r="X36" s="4">
        <v>8848.9</v>
      </c>
      <c r="Y36" s="5">
        <v>449</v>
      </c>
      <c r="Z36" s="5">
        <v>5357.8</v>
      </c>
      <c r="AA36" s="5">
        <v>5242.7</v>
      </c>
      <c r="AB36" s="5">
        <v>1187</v>
      </c>
      <c r="AC36" s="5">
        <v>69</v>
      </c>
      <c r="AD36" s="5">
        <v>231</v>
      </c>
      <c r="AE36" s="5">
        <v>124</v>
      </c>
      <c r="AF36" s="5">
        <v>20</v>
      </c>
      <c r="AG36" s="5"/>
      <c r="AH36" s="5">
        <f t="shared" si="10"/>
        <v>444</v>
      </c>
      <c r="AI36" s="5">
        <v>1311</v>
      </c>
    </row>
    <row r="37" spans="1:35" ht="14.25">
      <c r="A37" s="5">
        <v>9</v>
      </c>
      <c r="B37" s="5"/>
      <c r="C37" s="11" t="s">
        <v>29</v>
      </c>
      <c r="D37" s="5">
        <v>1979</v>
      </c>
      <c r="E37" s="5">
        <v>357</v>
      </c>
      <c r="F37" s="5"/>
      <c r="G37" s="5">
        <v>9</v>
      </c>
      <c r="H37" s="5">
        <v>8</v>
      </c>
      <c r="I37" s="5">
        <v>285</v>
      </c>
      <c r="J37" s="5">
        <v>9694.8</v>
      </c>
      <c r="K37" s="5">
        <v>16486.5</v>
      </c>
      <c r="L37" s="5">
        <v>19571.3</v>
      </c>
      <c r="M37" s="5">
        <v>3036.7</v>
      </c>
      <c r="N37" s="5">
        <v>520.32</v>
      </c>
      <c r="O37" s="57">
        <f>400.48-283.8</f>
        <v>116.68</v>
      </c>
      <c r="P37" s="8">
        <f t="shared" si="9"/>
        <v>2516.3799999999997</v>
      </c>
      <c r="Q37" s="5">
        <v>24.2</v>
      </c>
      <c r="R37" s="4">
        <f t="shared" si="11"/>
        <v>2980.8999999999996</v>
      </c>
      <c r="S37" s="58">
        <f t="shared" si="12"/>
        <v>2480.8999999999996</v>
      </c>
      <c r="T37" s="4">
        <v>1120.8</v>
      </c>
      <c r="U37" s="4">
        <v>672.4</v>
      </c>
      <c r="V37" s="4">
        <v>687.7</v>
      </c>
      <c r="W37" s="113">
        <v>500</v>
      </c>
      <c r="X37" s="4">
        <v>5132</v>
      </c>
      <c r="Y37" s="5">
        <v>163</v>
      </c>
      <c r="Z37" s="5">
        <v>2529.3</v>
      </c>
      <c r="AA37" s="5">
        <v>2632.1</v>
      </c>
      <c r="AB37" s="5">
        <v>857</v>
      </c>
      <c r="AC37" s="5">
        <v>1</v>
      </c>
      <c r="AD37" s="5">
        <v>147</v>
      </c>
      <c r="AE37" s="5">
        <v>137</v>
      </c>
      <c r="AF37" s="5"/>
      <c r="AG37" s="5"/>
      <c r="AH37" s="5">
        <f t="shared" si="10"/>
        <v>285</v>
      </c>
      <c r="AI37" s="5">
        <v>864</v>
      </c>
    </row>
    <row r="38" spans="1:35" ht="14.25">
      <c r="A38" s="5">
        <v>10</v>
      </c>
      <c r="B38" s="5"/>
      <c r="C38" s="11" t="s">
        <v>30</v>
      </c>
      <c r="D38" s="5">
        <v>1979</v>
      </c>
      <c r="E38" s="5">
        <v>358</v>
      </c>
      <c r="F38" s="5"/>
      <c r="G38" s="5">
        <v>9</v>
      </c>
      <c r="H38" s="5">
        <v>10</v>
      </c>
      <c r="I38" s="5">
        <v>351</v>
      </c>
      <c r="J38" s="5">
        <v>12467.4</v>
      </c>
      <c r="K38" s="5">
        <v>20925.1</v>
      </c>
      <c r="L38" s="5">
        <v>25141.4</v>
      </c>
      <c r="M38" s="5">
        <v>3612.6</v>
      </c>
      <c r="N38" s="5">
        <v>650.82</v>
      </c>
      <c r="O38" s="57">
        <f>534.48-283.8</f>
        <v>250.68</v>
      </c>
      <c r="P38" s="8">
        <f t="shared" si="9"/>
        <v>2961.7799999999997</v>
      </c>
      <c r="Q38" s="5">
        <v>36.3</v>
      </c>
      <c r="R38" s="4">
        <f t="shared" si="11"/>
        <v>3223</v>
      </c>
      <c r="S38" s="58">
        <f t="shared" si="12"/>
        <v>2877</v>
      </c>
      <c r="T38" s="4">
        <v>1475</v>
      </c>
      <c r="U38" s="4">
        <v>868</v>
      </c>
      <c r="V38" s="4">
        <v>534</v>
      </c>
      <c r="W38" s="4">
        <v>346</v>
      </c>
      <c r="X38" s="4">
        <v>8009</v>
      </c>
      <c r="Y38" s="5">
        <v>234</v>
      </c>
      <c r="Z38" s="5">
        <v>3274.9</v>
      </c>
      <c r="AA38" s="5">
        <v>3274.9</v>
      </c>
      <c r="AB38" s="5">
        <v>1032</v>
      </c>
      <c r="AC38" s="5">
        <v>3</v>
      </c>
      <c r="AD38" s="5">
        <v>167</v>
      </c>
      <c r="AE38" s="5">
        <v>163</v>
      </c>
      <c r="AF38" s="5">
        <v>10</v>
      </c>
      <c r="AG38" s="5">
        <v>8</v>
      </c>
      <c r="AH38" s="5">
        <f t="shared" si="10"/>
        <v>351</v>
      </c>
      <c r="AI38" s="5">
        <v>1067</v>
      </c>
    </row>
    <row r="39" spans="1:35" ht="14.25">
      <c r="A39" s="5">
        <v>11</v>
      </c>
      <c r="B39" s="5"/>
      <c r="C39" s="112" t="s">
        <v>31</v>
      </c>
      <c r="D39" s="5">
        <v>1979</v>
      </c>
      <c r="E39" s="5">
        <v>359</v>
      </c>
      <c r="F39" s="5"/>
      <c r="G39" s="5">
        <v>5</v>
      </c>
      <c r="H39" s="5">
        <v>15</v>
      </c>
      <c r="I39" s="5">
        <v>221</v>
      </c>
      <c r="J39" s="5">
        <v>6559.7</v>
      </c>
      <c r="K39" s="5">
        <v>10261.8</v>
      </c>
      <c r="L39" s="8">
        <v>11910</v>
      </c>
      <c r="M39" s="5">
        <f>1265.6+146.5</f>
        <v>1412.1</v>
      </c>
      <c r="N39" s="5">
        <v>74.88</v>
      </c>
      <c r="O39" s="57">
        <f>92.6-40</f>
        <v>52.599999999999994</v>
      </c>
      <c r="P39" s="8">
        <f t="shared" si="9"/>
        <v>1337.2199999999998</v>
      </c>
      <c r="Q39" s="8">
        <v>21</v>
      </c>
      <c r="R39" s="4">
        <f t="shared" si="11"/>
        <v>3722</v>
      </c>
      <c r="S39" s="58">
        <f t="shared" si="12"/>
        <v>3698</v>
      </c>
      <c r="T39" s="4">
        <v>1585</v>
      </c>
      <c r="U39" s="4">
        <v>1632</v>
      </c>
      <c r="V39" s="4">
        <v>481</v>
      </c>
      <c r="W39" s="4">
        <f>240*0+24</f>
        <v>24</v>
      </c>
      <c r="X39" s="4">
        <v>12658</v>
      </c>
      <c r="Y39" s="5">
        <v>139</v>
      </c>
      <c r="Z39" s="5">
        <v>2961.4</v>
      </c>
      <c r="AA39" s="5">
        <v>2634.7</v>
      </c>
      <c r="AB39" s="5">
        <v>611</v>
      </c>
      <c r="AC39" s="5">
        <v>36</v>
      </c>
      <c r="AD39" s="5">
        <v>114</v>
      </c>
      <c r="AE39" s="5">
        <v>60</v>
      </c>
      <c r="AF39" s="5">
        <v>11</v>
      </c>
      <c r="AG39" s="5"/>
      <c r="AH39" s="5">
        <f t="shared" si="10"/>
        <v>221</v>
      </c>
      <c r="AI39" s="5">
        <v>632</v>
      </c>
    </row>
    <row r="40" spans="1:35" ht="14.25">
      <c r="A40" s="5">
        <v>12</v>
      </c>
      <c r="B40" s="5"/>
      <c r="C40" s="112" t="s">
        <v>32</v>
      </c>
      <c r="D40" s="5">
        <v>1979</v>
      </c>
      <c r="E40" s="5">
        <v>360</v>
      </c>
      <c r="F40" s="5"/>
      <c r="G40" s="5">
        <v>5</v>
      </c>
      <c r="H40" s="5">
        <v>8</v>
      </c>
      <c r="I40" s="5">
        <v>109</v>
      </c>
      <c r="J40" s="5">
        <v>3370.4</v>
      </c>
      <c r="K40" s="5">
        <v>5242.1</v>
      </c>
      <c r="L40" s="5">
        <v>5998.5</v>
      </c>
      <c r="M40" s="5">
        <v>758.6</v>
      </c>
      <c r="N40" s="5">
        <v>0</v>
      </c>
      <c r="O40" s="57">
        <v>0</v>
      </c>
      <c r="P40" s="8">
        <f t="shared" si="9"/>
        <v>758.6</v>
      </c>
      <c r="Q40" s="5">
        <v>12.8</v>
      </c>
      <c r="R40" s="4">
        <f t="shared" si="11"/>
        <v>1606</v>
      </c>
      <c r="S40" s="58">
        <f t="shared" si="12"/>
        <v>1606</v>
      </c>
      <c r="T40" s="4">
        <v>962</v>
      </c>
      <c r="U40" s="4">
        <v>385</v>
      </c>
      <c r="V40" s="4">
        <v>259</v>
      </c>
      <c r="W40" s="4"/>
      <c r="X40" s="4">
        <v>4675</v>
      </c>
      <c r="Y40" s="5">
        <v>58</v>
      </c>
      <c r="Z40" s="5">
        <v>1338.3</v>
      </c>
      <c r="AA40" s="5">
        <v>1338.3</v>
      </c>
      <c r="AB40" s="5">
        <v>286</v>
      </c>
      <c r="AC40" s="5">
        <v>19</v>
      </c>
      <c r="AD40" s="5">
        <v>49</v>
      </c>
      <c r="AE40" s="5">
        <v>31</v>
      </c>
      <c r="AF40" s="5">
        <v>10</v>
      </c>
      <c r="AG40" s="5"/>
      <c r="AH40" s="5">
        <f t="shared" si="10"/>
        <v>109</v>
      </c>
      <c r="AI40" s="5">
        <v>316</v>
      </c>
    </row>
    <row r="41" spans="1:35" ht="14.25">
      <c r="A41" s="5">
        <v>13</v>
      </c>
      <c r="B41" s="5"/>
      <c r="C41" s="112" t="s">
        <v>33</v>
      </c>
      <c r="D41" s="5">
        <v>1978</v>
      </c>
      <c r="E41" s="5">
        <v>361</v>
      </c>
      <c r="F41" s="5"/>
      <c r="G41" s="5">
        <v>5</v>
      </c>
      <c r="H41" s="5">
        <v>12</v>
      </c>
      <c r="I41" s="5">
        <v>173</v>
      </c>
      <c r="J41" s="5">
        <v>5145.5</v>
      </c>
      <c r="K41" s="5">
        <v>8014.4</v>
      </c>
      <c r="L41" s="5">
        <v>9179.3</v>
      </c>
      <c r="M41" s="5">
        <f>939.4+73.6</f>
        <v>1013</v>
      </c>
      <c r="N41" s="5">
        <v>58.8</v>
      </c>
      <c r="O41" s="5">
        <f>58.4-58.4</f>
        <v>0</v>
      </c>
      <c r="P41" s="8">
        <f t="shared" si="9"/>
        <v>954.2</v>
      </c>
      <c r="Q41" s="5">
        <v>25.6</v>
      </c>
      <c r="R41" s="4">
        <f t="shared" si="11"/>
        <v>2855</v>
      </c>
      <c r="S41" s="58">
        <f t="shared" si="12"/>
        <v>2809</v>
      </c>
      <c r="T41" s="4">
        <v>1845</v>
      </c>
      <c r="U41" s="4">
        <v>708</v>
      </c>
      <c r="V41" s="4">
        <v>256</v>
      </c>
      <c r="W41" s="4">
        <f>506*0+46</f>
        <v>46</v>
      </c>
      <c r="X41" s="4">
        <v>9276</v>
      </c>
      <c r="Y41" s="5">
        <v>183</v>
      </c>
      <c r="Z41" s="5">
        <v>2115.3</v>
      </c>
      <c r="AA41" s="5">
        <v>2057.2</v>
      </c>
      <c r="AB41" s="5">
        <v>479</v>
      </c>
      <c r="AC41" s="5">
        <v>30</v>
      </c>
      <c r="AD41" s="5">
        <v>86</v>
      </c>
      <c r="AE41" s="5">
        <v>47</v>
      </c>
      <c r="AF41" s="5">
        <v>10</v>
      </c>
      <c r="AG41" s="5"/>
      <c r="AH41" s="5">
        <f t="shared" si="10"/>
        <v>173</v>
      </c>
      <c r="AI41" s="5">
        <v>503</v>
      </c>
    </row>
    <row r="42" spans="1:35" ht="14.25">
      <c r="A42" s="5">
        <v>14</v>
      </c>
      <c r="B42" s="5"/>
      <c r="C42" s="112" t="s">
        <v>34</v>
      </c>
      <c r="D42" s="5">
        <v>1979</v>
      </c>
      <c r="E42" s="5">
        <v>362</v>
      </c>
      <c r="F42" s="5"/>
      <c r="G42" s="5">
        <v>9</v>
      </c>
      <c r="H42" s="5">
        <v>7</v>
      </c>
      <c r="I42" s="5">
        <v>252</v>
      </c>
      <c r="J42" s="5">
        <v>8685.7</v>
      </c>
      <c r="K42" s="5">
        <v>14793.1</v>
      </c>
      <c r="L42" s="5">
        <v>17455.3</v>
      </c>
      <c r="M42" s="5">
        <v>2632.2</v>
      </c>
      <c r="N42" s="5">
        <v>557.12</v>
      </c>
      <c r="O42" s="5">
        <f>409.76-283.8</f>
        <v>125.95999999999998</v>
      </c>
      <c r="P42" s="8">
        <f t="shared" si="9"/>
        <v>2075.08</v>
      </c>
      <c r="Q42" s="5">
        <v>21.7</v>
      </c>
      <c r="R42" s="4">
        <f t="shared" si="11"/>
        <v>4706</v>
      </c>
      <c r="S42" s="58">
        <f t="shared" si="12"/>
        <v>4206</v>
      </c>
      <c r="T42" s="4">
        <v>2402</v>
      </c>
      <c r="U42" s="4">
        <v>1282</v>
      </c>
      <c r="V42" s="4">
        <v>522</v>
      </c>
      <c r="W42" s="116">
        <v>500</v>
      </c>
      <c r="X42" s="4">
        <v>14969</v>
      </c>
      <c r="Y42" s="5">
        <v>198</v>
      </c>
      <c r="Z42" s="8">
        <v>2214</v>
      </c>
      <c r="AA42" s="5">
        <v>2336.9</v>
      </c>
      <c r="AB42" s="5">
        <v>718</v>
      </c>
      <c r="AC42" s="5">
        <v>1</v>
      </c>
      <c r="AD42" s="5">
        <v>130</v>
      </c>
      <c r="AE42" s="5">
        <v>121</v>
      </c>
      <c r="AF42" s="5"/>
      <c r="AG42" s="5"/>
      <c r="AH42" s="5">
        <f t="shared" si="10"/>
        <v>252</v>
      </c>
      <c r="AI42" s="5">
        <v>765</v>
      </c>
    </row>
    <row r="43" spans="1:35" ht="14.25">
      <c r="A43" s="5">
        <v>15</v>
      </c>
      <c r="B43" s="5"/>
      <c r="C43" s="112" t="s">
        <v>35</v>
      </c>
      <c r="D43" s="5">
        <v>1978</v>
      </c>
      <c r="E43" s="5">
        <v>363</v>
      </c>
      <c r="F43" s="5"/>
      <c r="G43" s="5">
        <v>5</v>
      </c>
      <c r="H43" s="5">
        <v>15</v>
      </c>
      <c r="I43" s="5">
        <v>221</v>
      </c>
      <c r="J43" s="117">
        <v>6541.1</v>
      </c>
      <c r="K43" s="117">
        <v>10205.4</v>
      </c>
      <c r="L43" s="5">
        <v>11826.8</v>
      </c>
      <c r="M43" s="8">
        <v>1329</v>
      </c>
      <c r="N43" s="5">
        <v>114.8</v>
      </c>
      <c r="O43" s="5">
        <f>116.8-60</f>
        <v>56.8</v>
      </c>
      <c r="P43" s="8">
        <f t="shared" si="9"/>
        <v>1214.2</v>
      </c>
      <c r="Q43" s="5">
        <v>21</v>
      </c>
      <c r="R43" s="4">
        <f t="shared" si="11"/>
        <v>2836.5</v>
      </c>
      <c r="S43" s="58">
        <f t="shared" si="12"/>
        <v>2442.4</v>
      </c>
      <c r="T43" s="114">
        <v>1312</v>
      </c>
      <c r="U43" s="4">
        <v>622.8</v>
      </c>
      <c r="V43" s="4">
        <v>507.6</v>
      </c>
      <c r="W43" s="4">
        <v>394.1</v>
      </c>
      <c r="X43" s="4">
        <v>3945.6</v>
      </c>
      <c r="Y43" s="5">
        <v>138</v>
      </c>
      <c r="Z43" s="5">
        <v>2637.4</v>
      </c>
      <c r="AA43" s="5">
        <v>2637.4</v>
      </c>
      <c r="AB43" s="5">
        <v>666</v>
      </c>
      <c r="AC43" s="5">
        <v>40</v>
      </c>
      <c r="AD43" s="5">
        <v>106</v>
      </c>
      <c r="AE43" s="5">
        <v>64</v>
      </c>
      <c r="AF43" s="5">
        <v>11</v>
      </c>
      <c r="AG43" s="5"/>
      <c r="AH43" s="5">
        <f t="shared" si="10"/>
        <v>221</v>
      </c>
      <c r="AI43" s="5">
        <v>666</v>
      </c>
    </row>
    <row r="44" spans="1:35" ht="14.25">
      <c r="A44" s="5">
        <v>16</v>
      </c>
      <c r="B44" s="5"/>
      <c r="C44" s="112" t="s">
        <v>36</v>
      </c>
      <c r="D44" s="5">
        <v>1979</v>
      </c>
      <c r="E44" s="5">
        <v>364</v>
      </c>
      <c r="F44" s="5"/>
      <c r="G44" s="5">
        <v>5</v>
      </c>
      <c r="H44" s="5">
        <v>7</v>
      </c>
      <c r="I44" s="5">
        <v>94</v>
      </c>
      <c r="J44" s="5">
        <v>2877.5</v>
      </c>
      <c r="K44" s="5">
        <v>4552.6</v>
      </c>
      <c r="L44" s="5">
        <v>5222.4</v>
      </c>
      <c r="M44" s="5">
        <v>564.2</v>
      </c>
      <c r="N44" s="5">
        <v>0</v>
      </c>
      <c r="O44" s="5">
        <v>0</v>
      </c>
      <c r="P44" s="8">
        <f t="shared" si="9"/>
        <v>564.2</v>
      </c>
      <c r="Q44" s="5">
        <v>9.8</v>
      </c>
      <c r="R44" s="4">
        <f t="shared" si="11"/>
        <v>1849</v>
      </c>
      <c r="S44" s="58">
        <f t="shared" si="12"/>
        <v>1819</v>
      </c>
      <c r="T44" s="4">
        <v>591</v>
      </c>
      <c r="U44" s="4">
        <v>950</v>
      </c>
      <c r="V44" s="4">
        <f>151+127</f>
        <v>278</v>
      </c>
      <c r="W44" s="4">
        <f>385*0+30</f>
        <v>30</v>
      </c>
      <c r="X44" s="4">
        <v>7248</v>
      </c>
      <c r="Y44" s="5">
        <v>105</v>
      </c>
      <c r="Z44" s="5">
        <v>1158.3</v>
      </c>
      <c r="AA44" s="5">
        <v>1158.3</v>
      </c>
      <c r="AB44" s="5">
        <v>240</v>
      </c>
      <c r="AC44" s="5">
        <v>19</v>
      </c>
      <c r="AD44" s="5">
        <v>34</v>
      </c>
      <c r="AE44" s="5">
        <v>31</v>
      </c>
      <c r="AF44" s="5">
        <v>10</v>
      </c>
      <c r="AG44" s="5"/>
      <c r="AH44" s="5">
        <f t="shared" si="10"/>
        <v>94</v>
      </c>
      <c r="AI44" s="5">
        <v>252</v>
      </c>
    </row>
    <row r="45" spans="1:36" ht="28.5">
      <c r="A45" s="5">
        <v>17</v>
      </c>
      <c r="B45" s="5"/>
      <c r="C45" s="106" t="s">
        <v>110</v>
      </c>
      <c r="D45" s="5">
        <v>2012</v>
      </c>
      <c r="E45" s="5">
        <v>9056</v>
      </c>
      <c r="F45" s="5"/>
      <c r="G45" s="5">
        <v>5</v>
      </c>
      <c r="H45" s="5">
        <v>4</v>
      </c>
      <c r="I45" s="5">
        <v>76</v>
      </c>
      <c r="J45" s="7">
        <v>1776.8</v>
      </c>
      <c r="K45" s="7">
        <v>3440</v>
      </c>
      <c r="L45" s="7"/>
      <c r="M45" s="7">
        <f>408.9+78.3</f>
        <v>487.2</v>
      </c>
      <c r="N45" s="7"/>
      <c r="O45" s="7">
        <v>0</v>
      </c>
      <c r="P45" s="8">
        <f t="shared" si="9"/>
        <v>487.2</v>
      </c>
      <c r="Q45" s="7">
        <v>7.6</v>
      </c>
      <c r="R45" s="4">
        <f t="shared" si="11"/>
        <v>3194</v>
      </c>
      <c r="S45" s="58">
        <f t="shared" si="12"/>
        <v>2534</v>
      </c>
      <c r="T45" s="25">
        <v>1904</v>
      </c>
      <c r="U45" s="25">
        <v>440</v>
      </c>
      <c r="V45" s="25">
        <v>190</v>
      </c>
      <c r="W45" s="25">
        <f>349+311</f>
        <v>660</v>
      </c>
      <c r="X45" s="25">
        <v>3758</v>
      </c>
      <c r="Y45" s="7">
        <v>16</v>
      </c>
      <c r="Z45" s="7">
        <v>885.6</v>
      </c>
      <c r="AA45" s="7">
        <v>795.1</v>
      </c>
      <c r="AB45" s="7">
        <v>169</v>
      </c>
      <c r="AC45" s="7">
        <v>31</v>
      </c>
      <c r="AD45" s="7">
        <v>38</v>
      </c>
      <c r="AE45" s="7">
        <v>47</v>
      </c>
      <c r="AF45" s="7"/>
      <c r="AG45" s="7"/>
      <c r="AH45" s="7">
        <v>76</v>
      </c>
      <c r="AI45" s="7">
        <v>148</v>
      </c>
      <c r="AJ45" s="60"/>
    </row>
    <row r="46" spans="1:38" ht="15">
      <c r="A46" s="5">
        <v>18</v>
      </c>
      <c r="B46" s="5"/>
      <c r="C46" s="61" t="s">
        <v>129</v>
      </c>
      <c r="D46" s="5"/>
      <c r="E46" s="5">
        <v>104</v>
      </c>
      <c r="F46" s="5"/>
      <c r="G46" s="5">
        <v>5</v>
      </c>
      <c r="H46" s="5">
        <v>1</v>
      </c>
      <c r="I46" s="5">
        <v>157</v>
      </c>
      <c r="J46" s="126">
        <v>2668.3</v>
      </c>
      <c r="K46" s="126">
        <v>2772.5</v>
      </c>
      <c r="L46" s="5"/>
      <c r="M46" s="5">
        <v>111.4</v>
      </c>
      <c r="N46" s="5"/>
      <c r="O46" s="5"/>
      <c r="P46" s="8">
        <f t="shared" si="9"/>
        <v>111.4</v>
      </c>
      <c r="Q46" s="5">
        <v>0</v>
      </c>
      <c r="R46" s="4">
        <f t="shared" si="11"/>
        <v>1673.7</v>
      </c>
      <c r="S46" s="58">
        <f t="shared" si="12"/>
        <v>1673.7</v>
      </c>
      <c r="T46" s="113">
        <v>1412.7</v>
      </c>
      <c r="U46" s="4"/>
      <c r="V46" s="113">
        <v>261</v>
      </c>
      <c r="W46" s="4"/>
      <c r="X46" s="113">
        <v>1033.3</v>
      </c>
      <c r="Y46" s="5"/>
      <c r="Z46" s="5"/>
      <c r="AA46" s="5">
        <v>1026</v>
      </c>
      <c r="AB46" s="62"/>
      <c r="AC46" s="62"/>
      <c r="AD46" s="62"/>
      <c r="AE46" s="62"/>
      <c r="AF46" s="62"/>
      <c r="AG46" s="62"/>
      <c r="AH46" s="62"/>
      <c r="AI46" s="62">
        <f>SUM(AI28:AI44)</f>
        <v>11179</v>
      </c>
      <c r="AK46" s="5">
        <f>AA46+Q46</f>
        <v>1026</v>
      </c>
      <c r="AL46" s="8">
        <f>AA46+Q46+M46</f>
        <v>1137.4</v>
      </c>
    </row>
    <row r="47" spans="1:36" ht="36" customHeight="1">
      <c r="A47" s="150" t="s">
        <v>132</v>
      </c>
      <c r="B47" s="151"/>
      <c r="C47" s="151"/>
      <c r="D47" s="152"/>
      <c r="E47" s="62"/>
      <c r="F47" s="62"/>
      <c r="G47" s="62"/>
      <c r="H47" s="62">
        <f>SUM(H28:H46)</f>
        <v>179</v>
      </c>
      <c r="I47" s="62">
        <f>SUM(I28:I46)</f>
        <v>3946</v>
      </c>
      <c r="J47" s="62">
        <f>SUM(J28:J46)</f>
        <v>125001.79999999999</v>
      </c>
      <c r="K47" s="62">
        <f>SUM(K28:K46)</f>
        <v>203848.5</v>
      </c>
      <c r="L47" s="62">
        <f aca="true" t="shared" si="13" ref="L47:W47">SUM(L28:L46)</f>
        <v>233369.79999999993</v>
      </c>
      <c r="M47" s="62">
        <f t="shared" si="13"/>
        <v>30874.999999999996</v>
      </c>
      <c r="N47" s="62">
        <f t="shared" si="13"/>
        <v>4640.780000000001</v>
      </c>
      <c r="O47" s="62">
        <f t="shared" si="13"/>
        <v>1511.551</v>
      </c>
      <c r="P47" s="62">
        <f t="shared" si="13"/>
        <v>26234.220000000005</v>
      </c>
      <c r="Q47" s="62">
        <f t="shared" si="13"/>
        <v>377.70000000000005</v>
      </c>
      <c r="R47" s="63">
        <f t="shared" si="13"/>
        <v>54979.5</v>
      </c>
      <c r="S47" s="63">
        <f t="shared" si="13"/>
        <v>49538.8</v>
      </c>
      <c r="T47" s="63">
        <f t="shared" si="13"/>
        <v>26782.2</v>
      </c>
      <c r="U47" s="63">
        <f t="shared" si="13"/>
        <v>15367.8</v>
      </c>
      <c r="V47" s="63">
        <f t="shared" si="13"/>
        <v>7388.8</v>
      </c>
      <c r="W47" s="63">
        <f t="shared" si="13"/>
        <v>5440.700000000001</v>
      </c>
      <c r="X47" s="63">
        <f aca="true" t="shared" si="14" ref="X47:AC47">SUM(X28:X46)</f>
        <v>126003.70000000001</v>
      </c>
      <c r="Y47" s="63">
        <f t="shared" si="14"/>
        <v>3178</v>
      </c>
      <c r="Z47" s="109">
        <f t="shared" si="14"/>
        <v>41191.76</v>
      </c>
      <c r="AA47" s="109">
        <f t="shared" si="14"/>
        <v>40642.86</v>
      </c>
      <c r="AB47" s="63">
        <f t="shared" si="14"/>
        <v>10777</v>
      </c>
      <c r="AC47" s="63">
        <f t="shared" si="14"/>
        <v>399</v>
      </c>
      <c r="AD47" s="63">
        <f aca="true" t="shared" si="15" ref="AD47:AI47">SUM(AD28:AD46)</f>
        <v>1805</v>
      </c>
      <c r="AE47" s="63">
        <f t="shared" si="15"/>
        <v>1430</v>
      </c>
      <c r="AF47" s="63">
        <f t="shared" si="15"/>
        <v>161</v>
      </c>
      <c r="AG47" s="63">
        <f t="shared" si="15"/>
        <v>29</v>
      </c>
      <c r="AH47" s="63">
        <f t="shared" si="15"/>
        <v>3784</v>
      </c>
      <c r="AI47" s="63">
        <f t="shared" si="15"/>
        <v>22506</v>
      </c>
      <c r="AJ47" s="64">
        <v>9492</v>
      </c>
    </row>
    <row r="48" spans="1:36" ht="14.25">
      <c r="A48" s="5" t="s">
        <v>17</v>
      </c>
      <c r="B48" s="5"/>
      <c r="C48" s="5"/>
      <c r="D48" s="5"/>
      <c r="E48" s="135">
        <v>11</v>
      </c>
      <c r="F48" s="141"/>
      <c r="G48" s="136"/>
      <c r="H48" s="5">
        <f aca="true" t="shared" si="16" ref="H48:AI48">H30+H31+H32+H33+H36+H39+H40+H41+H43+H44+H45+H46</f>
        <v>121</v>
      </c>
      <c r="I48" s="5">
        <f t="shared" si="16"/>
        <v>1906</v>
      </c>
      <c r="J48" s="5">
        <f t="shared" si="16"/>
        <v>54427.00000000001</v>
      </c>
      <c r="K48" s="5">
        <f t="shared" si="16"/>
        <v>84529.8</v>
      </c>
      <c r="L48" s="5">
        <f t="shared" si="16"/>
        <v>87898.8</v>
      </c>
      <c r="M48" s="5">
        <f t="shared" si="16"/>
        <v>10913.300000000001</v>
      </c>
      <c r="N48" s="5">
        <f t="shared" si="16"/>
        <v>524.32</v>
      </c>
      <c r="O48" s="5">
        <f t="shared" si="16"/>
        <v>250</v>
      </c>
      <c r="P48" s="5">
        <f t="shared" si="16"/>
        <v>10388.98</v>
      </c>
      <c r="Q48" s="5">
        <f t="shared" si="16"/>
        <v>182.9</v>
      </c>
      <c r="R48" s="14">
        <f t="shared" si="16"/>
        <v>29020.9</v>
      </c>
      <c r="S48" s="14">
        <f t="shared" si="16"/>
        <v>26450.000000000004</v>
      </c>
      <c r="T48" s="14">
        <f t="shared" si="16"/>
        <v>14654.5</v>
      </c>
      <c r="U48" s="14">
        <f t="shared" si="16"/>
        <v>8010.2</v>
      </c>
      <c r="V48" s="14">
        <f t="shared" si="16"/>
        <v>3785.2999999999997</v>
      </c>
      <c r="W48" s="14">
        <f t="shared" si="16"/>
        <v>2570.9</v>
      </c>
      <c r="X48" s="14">
        <f t="shared" si="16"/>
        <v>64952.6</v>
      </c>
      <c r="Y48" s="14">
        <f t="shared" si="16"/>
        <v>1497</v>
      </c>
      <c r="Z48" s="15">
        <f t="shared" si="16"/>
        <v>22228.3</v>
      </c>
      <c r="AA48" s="15">
        <f t="shared" si="16"/>
        <v>21681.399999999998</v>
      </c>
      <c r="AB48" s="15">
        <f t="shared" si="16"/>
        <v>4832</v>
      </c>
      <c r="AC48" s="15">
        <f t="shared" si="16"/>
        <v>316</v>
      </c>
      <c r="AD48" s="15">
        <f t="shared" si="16"/>
        <v>842</v>
      </c>
      <c r="AE48" s="15">
        <f t="shared" si="16"/>
        <v>524</v>
      </c>
      <c r="AF48" s="15">
        <f t="shared" si="16"/>
        <v>102</v>
      </c>
      <c r="AG48" s="15">
        <f t="shared" si="16"/>
        <v>0</v>
      </c>
      <c r="AH48" s="15">
        <f t="shared" si="16"/>
        <v>1744</v>
      </c>
      <c r="AI48" s="15">
        <f t="shared" si="16"/>
        <v>16252</v>
      </c>
      <c r="AJ48" s="20"/>
    </row>
    <row r="49" spans="1:36" ht="14.25">
      <c r="A49" s="5" t="s">
        <v>37</v>
      </c>
      <c r="B49" s="5"/>
      <c r="C49" s="5"/>
      <c r="D49" s="5"/>
      <c r="E49" s="135">
        <v>7</v>
      </c>
      <c r="F49" s="141"/>
      <c r="G49" s="136"/>
      <c r="H49" s="5">
        <f aca="true" t="shared" si="17" ref="H49:AI49">H28+H29+H34+H35+H37+H38+H42</f>
        <v>58</v>
      </c>
      <c r="I49" s="5">
        <f t="shared" si="17"/>
        <v>2040</v>
      </c>
      <c r="J49" s="5">
        <f t="shared" si="17"/>
        <v>70574.8</v>
      </c>
      <c r="K49" s="5">
        <f t="shared" si="17"/>
        <v>119318.70000000001</v>
      </c>
      <c r="L49" s="5">
        <f t="shared" si="17"/>
        <v>145471</v>
      </c>
      <c r="M49" s="5">
        <f t="shared" si="17"/>
        <v>19961.7</v>
      </c>
      <c r="N49" s="5">
        <f t="shared" si="17"/>
        <v>4116.46</v>
      </c>
      <c r="O49" s="65">
        <f t="shared" si="17"/>
        <v>1261.551</v>
      </c>
      <c r="P49" s="5">
        <f t="shared" si="17"/>
        <v>15845.24</v>
      </c>
      <c r="Q49" s="5">
        <f t="shared" si="17"/>
        <v>194.79999999999995</v>
      </c>
      <c r="R49" s="14">
        <f t="shared" si="17"/>
        <v>25958.6</v>
      </c>
      <c r="S49" s="14">
        <f t="shared" si="17"/>
        <v>23088.800000000003</v>
      </c>
      <c r="T49" s="14">
        <f t="shared" si="17"/>
        <v>12127.699999999999</v>
      </c>
      <c r="U49" s="14">
        <f t="shared" si="17"/>
        <v>7357.599999999999</v>
      </c>
      <c r="V49" s="14">
        <f t="shared" si="17"/>
        <v>3603.5</v>
      </c>
      <c r="W49" s="14">
        <f t="shared" si="17"/>
        <v>2869.8</v>
      </c>
      <c r="X49" s="14">
        <f t="shared" si="17"/>
        <v>61051.1</v>
      </c>
      <c r="Y49" s="14">
        <f t="shared" si="17"/>
        <v>1681</v>
      </c>
      <c r="Z49" s="15">
        <f t="shared" si="17"/>
        <v>18963.46</v>
      </c>
      <c r="AA49" s="15">
        <f t="shared" si="17"/>
        <v>18961.460000000003</v>
      </c>
      <c r="AB49" s="15">
        <f t="shared" si="17"/>
        <v>5945</v>
      </c>
      <c r="AC49" s="15">
        <f t="shared" si="17"/>
        <v>83</v>
      </c>
      <c r="AD49" s="15">
        <f t="shared" si="17"/>
        <v>963</v>
      </c>
      <c r="AE49" s="15">
        <f t="shared" si="17"/>
        <v>906</v>
      </c>
      <c r="AF49" s="15">
        <f t="shared" si="17"/>
        <v>59</v>
      </c>
      <c r="AG49" s="15">
        <f t="shared" si="17"/>
        <v>29</v>
      </c>
      <c r="AH49" s="15">
        <f t="shared" si="17"/>
        <v>2040</v>
      </c>
      <c r="AI49" s="15">
        <f t="shared" si="17"/>
        <v>6254</v>
      </c>
      <c r="AJ49" s="20"/>
    </row>
    <row r="50" spans="1:36" ht="15.75" customHeight="1" hidden="1">
      <c r="A50" s="5" t="s">
        <v>19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14"/>
      <c r="S50" s="14"/>
      <c r="T50" s="14"/>
      <c r="U50" s="14"/>
      <c r="V50" s="14"/>
      <c r="W50" s="14"/>
      <c r="X50" s="14"/>
      <c r="Y50" s="14"/>
      <c r="Z50" s="15"/>
      <c r="AA50" s="15"/>
      <c r="AB50" s="15"/>
      <c r="AC50" s="15"/>
      <c r="AD50" s="15"/>
      <c r="AE50" s="15"/>
      <c r="AF50" s="15"/>
      <c r="AG50" s="15"/>
      <c r="AH50" s="15"/>
      <c r="AI50" s="20"/>
      <c r="AJ50" s="20"/>
    </row>
    <row r="51" spans="1:36" ht="15.7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66"/>
      <c r="S51" s="66"/>
      <c r="T51" s="66"/>
      <c r="U51" s="66"/>
      <c r="V51" s="66"/>
      <c r="W51" s="66"/>
      <c r="X51" s="66"/>
      <c r="Y51" s="66"/>
      <c r="Z51" s="67"/>
      <c r="AA51" s="67"/>
      <c r="AB51" s="67"/>
      <c r="AC51" s="67"/>
      <c r="AD51" s="67"/>
      <c r="AE51" s="67"/>
      <c r="AF51" s="67"/>
      <c r="AG51" s="67"/>
      <c r="AH51" s="67"/>
      <c r="AI51" s="20"/>
      <c r="AJ51" s="20"/>
    </row>
    <row r="52" spans="1:36" s="10" customFormat="1" ht="14.25">
      <c r="A52" s="2">
        <v>6</v>
      </c>
      <c r="B52" s="2"/>
      <c r="C52" s="2" t="s">
        <v>25</v>
      </c>
      <c r="D52" s="2">
        <v>1978</v>
      </c>
      <c r="E52" s="2">
        <v>354</v>
      </c>
      <c r="F52" s="2"/>
      <c r="G52" s="2">
        <v>5</v>
      </c>
      <c r="H52" s="2">
        <v>4</v>
      </c>
      <c r="I52" s="2">
        <v>50</v>
      </c>
      <c r="J52" s="2">
        <v>1716.1</v>
      </c>
      <c r="K52" s="2">
        <v>2618.6</v>
      </c>
      <c r="L52" s="2">
        <v>2975.5</v>
      </c>
      <c r="M52" s="2">
        <v>307.6</v>
      </c>
      <c r="N52" s="2">
        <v>0</v>
      </c>
      <c r="O52" s="2">
        <v>0</v>
      </c>
      <c r="P52" s="3">
        <f>M52-O52</f>
        <v>307.6</v>
      </c>
      <c r="Q52" s="2">
        <v>6.4</v>
      </c>
      <c r="R52" s="2">
        <f>842+502+131</f>
        <v>1475</v>
      </c>
      <c r="S52" s="2">
        <f>T52+U52+V52</f>
        <v>1475</v>
      </c>
      <c r="T52" s="2">
        <v>842</v>
      </c>
      <c r="U52" s="2">
        <v>502</v>
      </c>
      <c r="V52" s="2">
        <v>131</v>
      </c>
      <c r="W52" s="2"/>
      <c r="X52" s="2">
        <v>2023</v>
      </c>
      <c r="Y52" s="2">
        <v>170</v>
      </c>
      <c r="Z52" s="2">
        <v>664.2</v>
      </c>
      <c r="AA52" s="2">
        <v>664.2</v>
      </c>
      <c r="AB52" s="2">
        <v>158</v>
      </c>
      <c r="AC52" s="2">
        <v>10</v>
      </c>
      <c r="AD52" s="2">
        <v>10</v>
      </c>
      <c r="AE52" s="2">
        <v>20</v>
      </c>
      <c r="AF52" s="2">
        <v>10</v>
      </c>
      <c r="AG52" s="2"/>
      <c r="AH52" s="1">
        <f>SUM(AC52:AG52)</f>
        <v>50</v>
      </c>
      <c r="AI52" s="2">
        <v>180</v>
      </c>
      <c r="AJ52" s="10">
        <f>AB52-AI52</f>
        <v>-22</v>
      </c>
    </row>
    <row r="53" spans="1:36" ht="15.7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66"/>
      <c r="S53" s="66"/>
      <c r="T53" s="66"/>
      <c r="U53" s="66"/>
      <c r="V53" s="66"/>
      <c r="W53" s="66"/>
      <c r="X53" s="66"/>
      <c r="Y53" s="66"/>
      <c r="Z53" s="67"/>
      <c r="AA53" s="67"/>
      <c r="AB53" s="67"/>
      <c r="AC53" s="67"/>
      <c r="AD53" s="67"/>
      <c r="AE53" s="67"/>
      <c r="AF53" s="67"/>
      <c r="AG53" s="67"/>
      <c r="AH53" s="67"/>
      <c r="AI53" s="20"/>
      <c r="AJ53" s="20"/>
    </row>
    <row r="54" spans="1:36" ht="24.7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66"/>
      <c r="S54" s="66"/>
      <c r="T54" s="66"/>
      <c r="U54" s="66"/>
      <c r="V54" s="66"/>
      <c r="W54" s="66"/>
      <c r="X54" s="66"/>
      <c r="Y54" s="66"/>
      <c r="Z54" s="67"/>
      <c r="AA54" s="67"/>
      <c r="AB54" s="67"/>
      <c r="AC54" s="67"/>
      <c r="AD54" s="67"/>
      <c r="AE54" s="67"/>
      <c r="AF54" s="67"/>
      <c r="AG54" s="67"/>
      <c r="AH54" s="67"/>
      <c r="AI54" s="20"/>
      <c r="AJ54" s="20"/>
    </row>
    <row r="55" spans="3:36" ht="15">
      <c r="C55" s="68" t="s">
        <v>56</v>
      </c>
      <c r="D55" s="69"/>
      <c r="E55" s="69"/>
      <c r="F55" s="69"/>
      <c r="G55" s="69"/>
      <c r="H55" s="69"/>
      <c r="I55" s="69"/>
      <c r="J55" s="69"/>
      <c r="R55" s="70"/>
      <c r="S55" s="70"/>
      <c r="T55" s="70"/>
      <c r="U55" s="70"/>
      <c r="V55" s="70"/>
      <c r="W55" s="70"/>
      <c r="X55" s="70"/>
      <c r="Y55" s="7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</row>
    <row r="56" spans="3:36" ht="18" customHeight="1">
      <c r="C56" s="68" t="s">
        <v>75</v>
      </c>
      <c r="D56" s="69"/>
      <c r="E56" s="69"/>
      <c r="F56" s="69"/>
      <c r="G56" s="69"/>
      <c r="H56" s="69"/>
      <c r="I56" s="149" t="s">
        <v>161</v>
      </c>
      <c r="J56" s="149"/>
      <c r="K56" s="149"/>
      <c r="L56" s="149"/>
      <c r="M56" s="149"/>
      <c r="N56" s="149"/>
      <c r="O56" s="149"/>
      <c r="R56" s="70"/>
      <c r="S56" s="70"/>
      <c r="T56" s="70"/>
      <c r="U56" s="70"/>
      <c r="V56" s="70"/>
      <c r="W56" s="70"/>
      <c r="X56" s="70"/>
      <c r="Y56" s="7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</row>
    <row r="57" spans="1:36" s="35" customFormat="1" ht="82.5" customHeight="1">
      <c r="A57" s="32" t="s">
        <v>0</v>
      </c>
      <c r="B57" s="32"/>
      <c r="C57" s="33" t="s">
        <v>1</v>
      </c>
      <c r="D57" s="34" t="s">
        <v>74</v>
      </c>
      <c r="E57" s="34" t="s">
        <v>72</v>
      </c>
      <c r="F57" s="33" t="s">
        <v>73</v>
      </c>
      <c r="G57" s="34" t="s">
        <v>57</v>
      </c>
      <c r="H57" s="34" t="s">
        <v>58</v>
      </c>
      <c r="I57" s="34" t="s">
        <v>59</v>
      </c>
      <c r="J57" s="34" t="s">
        <v>60</v>
      </c>
      <c r="K57" s="34" t="s">
        <v>2</v>
      </c>
      <c r="L57" s="33" t="s">
        <v>113</v>
      </c>
      <c r="M57" s="34" t="s">
        <v>151</v>
      </c>
      <c r="N57" s="34" t="s">
        <v>61</v>
      </c>
      <c r="O57" s="34" t="s">
        <v>152</v>
      </c>
      <c r="P57" s="34" t="s">
        <v>153</v>
      </c>
      <c r="Q57" s="34" t="s">
        <v>62</v>
      </c>
      <c r="R57" s="71" t="s">
        <v>63</v>
      </c>
      <c r="S57" s="71" t="s">
        <v>84</v>
      </c>
      <c r="T57" s="108" t="s">
        <v>81</v>
      </c>
      <c r="U57" s="108" t="s">
        <v>82</v>
      </c>
      <c r="V57" s="108" t="s">
        <v>83</v>
      </c>
      <c r="W57" s="108" t="s">
        <v>116</v>
      </c>
      <c r="X57" s="108" t="s">
        <v>64</v>
      </c>
      <c r="Y57" s="71" t="s">
        <v>65</v>
      </c>
      <c r="Z57" s="71" t="s">
        <v>114</v>
      </c>
      <c r="AA57" s="72" t="s">
        <v>115</v>
      </c>
      <c r="AB57" s="71" t="s">
        <v>66</v>
      </c>
      <c r="AC57" s="73" t="s">
        <v>67</v>
      </c>
      <c r="AD57" s="73" t="s">
        <v>68</v>
      </c>
      <c r="AE57" s="73" t="s">
        <v>69</v>
      </c>
      <c r="AF57" s="73" t="s">
        <v>70</v>
      </c>
      <c r="AG57" s="73" t="s">
        <v>71</v>
      </c>
      <c r="AH57" s="73" t="s">
        <v>77</v>
      </c>
      <c r="AI57" s="71" t="s">
        <v>66</v>
      </c>
      <c r="AJ57" s="20"/>
    </row>
    <row r="58" spans="1:36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14"/>
      <c r="S58" s="14"/>
      <c r="T58" s="14"/>
      <c r="U58" s="14"/>
      <c r="V58" s="14"/>
      <c r="W58" s="14"/>
      <c r="X58" s="14"/>
      <c r="Y58" s="14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20"/>
    </row>
    <row r="59" spans="1:36" ht="14.25">
      <c r="A59" s="5">
        <v>1</v>
      </c>
      <c r="B59" s="5"/>
      <c r="C59" s="112" t="s">
        <v>38</v>
      </c>
      <c r="D59" s="5">
        <v>1982</v>
      </c>
      <c r="E59" s="5">
        <v>372</v>
      </c>
      <c r="F59" s="5"/>
      <c r="G59" s="5">
        <v>9</v>
      </c>
      <c r="H59" s="5">
        <v>8</v>
      </c>
      <c r="I59" s="5">
        <v>284</v>
      </c>
      <c r="J59" s="5">
        <v>9521.5</v>
      </c>
      <c r="K59" s="5">
        <v>13984.4</v>
      </c>
      <c r="L59" s="5">
        <v>17487.1</v>
      </c>
      <c r="M59" s="5">
        <v>1951.6</v>
      </c>
      <c r="N59" s="5">
        <v>233.1</v>
      </c>
      <c r="O59" s="5">
        <v>239.8</v>
      </c>
      <c r="P59" s="8">
        <f>M59-N59</f>
        <v>1718.5</v>
      </c>
      <c r="Q59" s="5">
        <v>32.2</v>
      </c>
      <c r="R59" s="4">
        <f aca="true" t="shared" si="18" ref="R59:R70">T59+U59+V59+W59</f>
        <v>2672.1000000000004</v>
      </c>
      <c r="S59" s="14">
        <f aca="true" t="shared" si="19" ref="S59:S70">T59+U59+V59</f>
        <v>2482.1000000000004</v>
      </c>
      <c r="T59" s="14">
        <v>1375.4</v>
      </c>
      <c r="U59" s="14">
        <v>664.7</v>
      </c>
      <c r="V59" s="14">
        <v>442</v>
      </c>
      <c r="W59" s="120">
        <f>105+85</f>
        <v>190</v>
      </c>
      <c r="X59" s="14">
        <v>4689.8</v>
      </c>
      <c r="Y59" s="14">
        <v>180</v>
      </c>
      <c r="Z59" s="15">
        <v>2130.3</v>
      </c>
      <c r="AA59" s="15">
        <v>2090.2</v>
      </c>
      <c r="AB59" s="15">
        <v>791</v>
      </c>
      <c r="AC59" s="15">
        <v>63</v>
      </c>
      <c r="AD59" s="15">
        <v>67</v>
      </c>
      <c r="AE59" s="15">
        <v>145</v>
      </c>
      <c r="AF59" s="15">
        <v>9</v>
      </c>
      <c r="AG59" s="15"/>
      <c r="AH59" s="15">
        <f aca="true" t="shared" si="20" ref="AH59:AH69">SUM(AC59:AG59)</f>
        <v>284</v>
      </c>
      <c r="AI59" s="15">
        <v>796</v>
      </c>
      <c r="AJ59" s="20"/>
    </row>
    <row r="60" spans="1:36" ht="14.25">
      <c r="A60" s="5">
        <v>2</v>
      </c>
      <c r="B60" s="5"/>
      <c r="C60" s="11" t="s">
        <v>39</v>
      </c>
      <c r="D60" s="5">
        <v>1982</v>
      </c>
      <c r="E60" s="5">
        <v>373</v>
      </c>
      <c r="F60" s="5"/>
      <c r="G60" s="5">
        <v>5</v>
      </c>
      <c r="H60" s="5">
        <v>27</v>
      </c>
      <c r="I60" s="5">
        <v>403</v>
      </c>
      <c r="J60" s="5">
        <v>11632.8</v>
      </c>
      <c r="K60" s="5">
        <v>18383.9</v>
      </c>
      <c r="L60" s="5"/>
      <c r="M60" s="5">
        <v>2439.8</v>
      </c>
      <c r="N60" s="5">
        <v>176.8</v>
      </c>
      <c r="O60" s="5">
        <v>204.4</v>
      </c>
      <c r="P60" s="8">
        <f aca="true" t="shared" si="21" ref="P60:P70">M60-N60</f>
        <v>2263</v>
      </c>
      <c r="Q60" s="5">
        <v>39.1</v>
      </c>
      <c r="R60" s="4">
        <f t="shared" si="18"/>
        <v>4682.4</v>
      </c>
      <c r="S60" s="14">
        <f t="shared" si="19"/>
        <v>4298.5</v>
      </c>
      <c r="T60" s="121">
        <v>2460.2</v>
      </c>
      <c r="U60" s="121">
        <v>1239.7</v>
      </c>
      <c r="V60" s="121">
        <v>598.6</v>
      </c>
      <c r="W60" s="121">
        <f>242.7+141.2</f>
        <v>383.9</v>
      </c>
      <c r="X60" s="121">
        <v>6996.8</v>
      </c>
      <c r="Y60" s="14">
        <v>277</v>
      </c>
      <c r="Z60" s="15">
        <v>4799.3</v>
      </c>
      <c r="AA60" s="15">
        <v>4682.7</v>
      </c>
      <c r="AB60" s="15">
        <v>1111</v>
      </c>
      <c r="AC60" s="15">
        <v>64</v>
      </c>
      <c r="AD60" s="15">
        <v>226</v>
      </c>
      <c r="AE60" s="15">
        <v>102</v>
      </c>
      <c r="AF60" s="15">
        <v>10</v>
      </c>
      <c r="AG60" s="15"/>
      <c r="AH60" s="15">
        <f t="shared" si="20"/>
        <v>402</v>
      </c>
      <c r="AI60" s="15">
        <v>1106</v>
      </c>
      <c r="AJ60" s="20"/>
    </row>
    <row r="61" spans="1:36" ht="14.25">
      <c r="A61" s="5">
        <v>3</v>
      </c>
      <c r="B61" s="5"/>
      <c r="C61" s="112" t="s">
        <v>40</v>
      </c>
      <c r="D61" s="5">
        <v>1983</v>
      </c>
      <c r="E61" s="5">
        <v>374</v>
      </c>
      <c r="F61" s="5"/>
      <c r="G61" s="5">
        <v>5</v>
      </c>
      <c r="H61" s="5">
        <v>17</v>
      </c>
      <c r="I61" s="5">
        <v>240</v>
      </c>
      <c r="J61" s="5">
        <v>7525.7</v>
      </c>
      <c r="K61" s="5">
        <v>11739.5</v>
      </c>
      <c r="L61" s="5">
        <v>13510.7</v>
      </c>
      <c r="M61" s="5">
        <v>1383.7</v>
      </c>
      <c r="N61" s="5">
        <v>116.8</v>
      </c>
      <c r="O61" s="5">
        <v>146</v>
      </c>
      <c r="P61" s="8">
        <f t="shared" si="21"/>
        <v>1266.9</v>
      </c>
      <c r="Q61" s="5">
        <v>27.9</v>
      </c>
      <c r="R61" s="4">
        <f t="shared" si="18"/>
        <v>5430</v>
      </c>
      <c r="S61" s="14">
        <f t="shared" si="19"/>
        <v>4377</v>
      </c>
      <c r="T61" s="121">
        <v>2100</v>
      </c>
      <c r="U61" s="14">
        <v>1646</v>
      </c>
      <c r="V61" s="14">
        <v>631</v>
      </c>
      <c r="W61" s="14">
        <f>617+436</f>
        <v>1053</v>
      </c>
      <c r="X61" s="14">
        <v>13835</v>
      </c>
      <c r="Y61" s="14">
        <v>100</v>
      </c>
      <c r="Z61" s="15">
        <v>2972</v>
      </c>
      <c r="AA61" s="15">
        <v>2972</v>
      </c>
      <c r="AB61" s="15">
        <v>729</v>
      </c>
      <c r="AC61" s="15">
        <v>39</v>
      </c>
      <c r="AD61" s="15">
        <v>103</v>
      </c>
      <c r="AE61" s="15">
        <v>78</v>
      </c>
      <c r="AF61" s="15">
        <v>20</v>
      </c>
      <c r="AG61" s="15"/>
      <c r="AH61" s="15">
        <f t="shared" si="20"/>
        <v>240</v>
      </c>
      <c r="AI61" s="15">
        <v>729</v>
      </c>
      <c r="AJ61" s="20"/>
    </row>
    <row r="62" spans="1:36" ht="14.25">
      <c r="A62" s="5">
        <v>4</v>
      </c>
      <c r="B62" s="5"/>
      <c r="C62" s="112" t="s">
        <v>41</v>
      </c>
      <c r="D62" s="5">
        <v>1987</v>
      </c>
      <c r="E62" s="5">
        <v>419</v>
      </c>
      <c r="F62" s="5"/>
      <c r="G62" s="5">
        <v>5</v>
      </c>
      <c r="H62" s="5">
        <v>28</v>
      </c>
      <c r="I62" s="5">
        <v>413</v>
      </c>
      <c r="J62" s="5">
        <v>12397.8</v>
      </c>
      <c r="K62" s="5">
        <v>19374.9</v>
      </c>
      <c r="L62" s="5"/>
      <c r="M62" s="5">
        <v>2884.9</v>
      </c>
      <c r="N62" s="5">
        <v>233.2</v>
      </c>
      <c r="O62" s="5">
        <v>292</v>
      </c>
      <c r="P62" s="8">
        <f t="shared" si="21"/>
        <v>2651.7000000000003</v>
      </c>
      <c r="Q62" s="5">
        <v>42</v>
      </c>
      <c r="R62" s="4">
        <f t="shared" si="18"/>
        <v>10078</v>
      </c>
      <c r="S62" s="14">
        <f t="shared" si="19"/>
        <v>8809</v>
      </c>
      <c r="T62" s="14">
        <v>4163</v>
      </c>
      <c r="U62" s="14">
        <v>3724</v>
      </c>
      <c r="V62" s="14">
        <v>922</v>
      </c>
      <c r="W62" s="14">
        <f>574+695</f>
        <v>1269</v>
      </c>
      <c r="X62" s="14">
        <v>19241</v>
      </c>
      <c r="Y62" s="14">
        <v>162</v>
      </c>
      <c r="Z62" s="15">
        <v>5066.6</v>
      </c>
      <c r="AA62" s="15">
        <v>4951.1</v>
      </c>
      <c r="AB62" s="15">
        <v>1346</v>
      </c>
      <c r="AC62" s="15">
        <v>69</v>
      </c>
      <c r="AD62" s="15">
        <v>199</v>
      </c>
      <c r="AE62" s="15">
        <v>125</v>
      </c>
      <c r="AF62" s="15">
        <v>20</v>
      </c>
      <c r="AG62" s="15"/>
      <c r="AH62" s="15">
        <f t="shared" si="20"/>
        <v>413</v>
      </c>
      <c r="AI62" s="15">
        <v>1368</v>
      </c>
      <c r="AJ62" s="20"/>
    </row>
    <row r="63" spans="1:36" ht="14.25">
      <c r="A63" s="5">
        <v>5</v>
      </c>
      <c r="B63" s="5"/>
      <c r="C63" s="112" t="s">
        <v>42</v>
      </c>
      <c r="D63" s="5">
        <v>1984</v>
      </c>
      <c r="E63" s="5">
        <v>366</v>
      </c>
      <c r="F63" s="5"/>
      <c r="G63" s="5">
        <v>5</v>
      </c>
      <c r="H63" s="5">
        <v>18</v>
      </c>
      <c r="I63" s="5">
        <v>258</v>
      </c>
      <c r="J63" s="5">
        <v>8253.7</v>
      </c>
      <c r="K63" s="5">
        <v>12756</v>
      </c>
      <c r="L63" s="5">
        <v>14745.6</v>
      </c>
      <c r="M63" s="5">
        <v>1712.9</v>
      </c>
      <c r="N63" s="5">
        <v>175.11</v>
      </c>
      <c r="O63" s="5">
        <v>219</v>
      </c>
      <c r="P63" s="8">
        <f t="shared" si="21"/>
        <v>1537.79</v>
      </c>
      <c r="Q63" s="5">
        <v>29</v>
      </c>
      <c r="R63" s="4">
        <f t="shared" si="18"/>
        <v>5776</v>
      </c>
      <c r="S63" s="14">
        <f t="shared" si="19"/>
        <v>4114</v>
      </c>
      <c r="T63" s="14">
        <v>2558</v>
      </c>
      <c r="U63" s="14">
        <v>1005</v>
      </c>
      <c r="V63" s="14">
        <v>551</v>
      </c>
      <c r="W63" s="14">
        <f>790+872</f>
        <v>1662</v>
      </c>
      <c r="X63" s="14">
        <f>250+504+13083+493</f>
        <v>14330</v>
      </c>
      <c r="Y63" s="14">
        <v>91</v>
      </c>
      <c r="Z63" s="15">
        <v>3293.5</v>
      </c>
      <c r="AA63" s="15">
        <v>3235.7</v>
      </c>
      <c r="AB63" s="15">
        <v>789</v>
      </c>
      <c r="AC63" s="15">
        <v>48</v>
      </c>
      <c r="AD63" s="15">
        <v>90</v>
      </c>
      <c r="AE63" s="15">
        <v>95</v>
      </c>
      <c r="AF63" s="15">
        <v>25</v>
      </c>
      <c r="AG63" s="15"/>
      <c r="AH63" s="15">
        <f t="shared" si="20"/>
        <v>258</v>
      </c>
      <c r="AI63" s="15">
        <v>786</v>
      </c>
      <c r="AJ63" s="20"/>
    </row>
    <row r="64" spans="1:36" ht="14.25">
      <c r="A64" s="5">
        <v>6</v>
      </c>
      <c r="B64" s="5"/>
      <c r="C64" s="112" t="s">
        <v>43</v>
      </c>
      <c r="D64" s="5">
        <v>1987</v>
      </c>
      <c r="E64" s="5">
        <v>367</v>
      </c>
      <c r="F64" s="5"/>
      <c r="G64" s="5">
        <v>9</v>
      </c>
      <c r="H64" s="5">
        <v>5</v>
      </c>
      <c r="I64" s="5">
        <v>180</v>
      </c>
      <c r="J64" s="5">
        <v>6131.4</v>
      </c>
      <c r="K64" s="5">
        <v>10366.6</v>
      </c>
      <c r="L64" s="5">
        <v>12171.6</v>
      </c>
      <c r="M64" s="5">
        <v>1601.1</v>
      </c>
      <c r="N64" s="5">
        <v>289.96</v>
      </c>
      <c r="O64" s="5">
        <v>223.2</v>
      </c>
      <c r="P64" s="8">
        <f t="shared" si="21"/>
        <v>1311.1399999999999</v>
      </c>
      <c r="Q64" s="5">
        <v>6</v>
      </c>
      <c r="R64" s="4">
        <f t="shared" si="18"/>
        <v>2193</v>
      </c>
      <c r="S64" s="14">
        <f t="shared" si="19"/>
        <v>1610</v>
      </c>
      <c r="T64" s="14">
        <v>652</v>
      </c>
      <c r="U64" s="14">
        <v>632</v>
      </c>
      <c r="V64" s="14">
        <v>326</v>
      </c>
      <c r="W64" s="14">
        <f>294+89+200</f>
        <v>583</v>
      </c>
      <c r="X64" s="14">
        <v>6038</v>
      </c>
      <c r="Y64" s="14">
        <v>41</v>
      </c>
      <c r="Z64" s="15">
        <v>1718</v>
      </c>
      <c r="AA64" s="15">
        <v>1671.4</v>
      </c>
      <c r="AB64" s="15">
        <v>550</v>
      </c>
      <c r="AC64" s="15"/>
      <c r="AD64" s="15">
        <v>94</v>
      </c>
      <c r="AE64" s="15">
        <v>86</v>
      </c>
      <c r="AF64" s="15"/>
      <c r="AG64" s="15"/>
      <c r="AH64" s="15">
        <f t="shared" si="20"/>
        <v>180</v>
      </c>
      <c r="AI64" s="15">
        <v>544</v>
      </c>
      <c r="AJ64" s="20"/>
    </row>
    <row r="65" spans="1:36" ht="14.25">
      <c r="A65" s="5">
        <v>7</v>
      </c>
      <c r="B65" s="5"/>
      <c r="C65" s="112" t="s">
        <v>44</v>
      </c>
      <c r="D65" s="5">
        <v>1987</v>
      </c>
      <c r="E65" s="5">
        <v>368</v>
      </c>
      <c r="F65" s="5"/>
      <c r="G65" s="5">
        <v>9</v>
      </c>
      <c r="H65" s="5">
        <v>3</v>
      </c>
      <c r="I65" s="5">
        <v>108</v>
      </c>
      <c r="J65" s="5">
        <v>3695.7</v>
      </c>
      <c r="K65" s="5">
        <v>6263</v>
      </c>
      <c r="L65" s="5"/>
      <c r="M65" s="8">
        <v>876.9</v>
      </c>
      <c r="N65" s="5">
        <v>139.05</v>
      </c>
      <c r="O65" s="5">
        <v>85.68</v>
      </c>
      <c r="P65" s="8">
        <f t="shared" si="21"/>
        <v>737.8499999999999</v>
      </c>
      <c r="Q65" s="5">
        <v>4.2</v>
      </c>
      <c r="R65" s="4">
        <f t="shared" si="18"/>
        <v>1314</v>
      </c>
      <c r="S65" s="14">
        <f t="shared" si="19"/>
        <v>1314</v>
      </c>
      <c r="T65" s="14">
        <v>521</v>
      </c>
      <c r="U65" s="14">
        <v>560</v>
      </c>
      <c r="V65" s="14">
        <v>233</v>
      </c>
      <c r="W65" s="14">
        <f>373*0</f>
        <v>0</v>
      </c>
      <c r="X65" s="14">
        <v>3381</v>
      </c>
      <c r="Y65" s="14">
        <v>47</v>
      </c>
      <c r="Z65" s="15">
        <v>1009.6</v>
      </c>
      <c r="AA65" s="15">
        <v>1009.6</v>
      </c>
      <c r="AB65" s="15">
        <v>317</v>
      </c>
      <c r="AC65" s="15"/>
      <c r="AD65" s="15">
        <v>57</v>
      </c>
      <c r="AE65" s="15">
        <v>51</v>
      </c>
      <c r="AF65" s="15"/>
      <c r="AG65" s="15"/>
      <c r="AH65" s="15">
        <f t="shared" si="20"/>
        <v>108</v>
      </c>
      <c r="AI65" s="15">
        <v>327</v>
      </c>
      <c r="AJ65" s="20"/>
    </row>
    <row r="66" spans="1:36" ht="14.25">
      <c r="A66" s="5">
        <v>8</v>
      </c>
      <c r="B66" s="5"/>
      <c r="C66" s="112" t="s">
        <v>45</v>
      </c>
      <c r="D66" s="5">
        <v>1985</v>
      </c>
      <c r="E66" s="5">
        <v>369</v>
      </c>
      <c r="F66" s="5"/>
      <c r="G66" s="5">
        <v>9</v>
      </c>
      <c r="H66" s="5">
        <v>8</v>
      </c>
      <c r="I66" s="5">
        <v>285</v>
      </c>
      <c r="J66" s="5">
        <v>9798.2</v>
      </c>
      <c r="K66" s="5">
        <v>16600.3</v>
      </c>
      <c r="L66" s="5">
        <v>19741.5</v>
      </c>
      <c r="M66" s="5">
        <v>2375.4</v>
      </c>
      <c r="N66" s="5">
        <v>214.31</v>
      </c>
      <c r="O66" s="5">
        <v>330.7</v>
      </c>
      <c r="P66" s="8">
        <f t="shared" si="21"/>
        <v>2161.09</v>
      </c>
      <c r="Q66" s="5">
        <v>10.4</v>
      </c>
      <c r="R66" s="4">
        <f t="shared" si="18"/>
        <v>4056</v>
      </c>
      <c r="S66" s="14">
        <f t="shared" si="19"/>
        <v>3683</v>
      </c>
      <c r="T66" s="14">
        <v>1831</v>
      </c>
      <c r="U66" s="14">
        <v>1344</v>
      </c>
      <c r="V66" s="14">
        <v>508</v>
      </c>
      <c r="W66" s="14">
        <f>232+141</f>
        <v>373</v>
      </c>
      <c r="X66" s="14">
        <v>6259</v>
      </c>
      <c r="Y66" s="14">
        <v>142</v>
      </c>
      <c r="Z66" s="16">
        <v>2656</v>
      </c>
      <c r="AA66" s="15">
        <v>2656</v>
      </c>
      <c r="AB66" s="15">
        <v>856</v>
      </c>
      <c r="AC66" s="15"/>
      <c r="AD66" s="15">
        <v>148</v>
      </c>
      <c r="AE66" s="15">
        <v>137</v>
      </c>
      <c r="AF66" s="15"/>
      <c r="AG66" s="15"/>
      <c r="AH66" s="15">
        <f t="shared" si="20"/>
        <v>285</v>
      </c>
      <c r="AI66" s="15">
        <v>868</v>
      </c>
      <c r="AJ66" s="20"/>
    </row>
    <row r="67" spans="1:36" ht="14.25">
      <c r="A67" s="5">
        <v>9</v>
      </c>
      <c r="B67" s="5"/>
      <c r="C67" s="112" t="s">
        <v>47</v>
      </c>
      <c r="D67" s="5">
        <v>1985</v>
      </c>
      <c r="E67" s="5">
        <v>371</v>
      </c>
      <c r="F67" s="5"/>
      <c r="G67" s="5">
        <v>5</v>
      </c>
      <c r="H67" s="5">
        <v>38</v>
      </c>
      <c r="I67" s="5">
        <v>577</v>
      </c>
      <c r="J67" s="5">
        <v>16522.6</v>
      </c>
      <c r="K67" s="5">
        <v>26198</v>
      </c>
      <c r="L67" s="5"/>
      <c r="M67" s="5">
        <f>2601+366.6</f>
        <v>2967.6</v>
      </c>
      <c r="N67" s="5">
        <v>294</v>
      </c>
      <c r="O67" s="5">
        <v>365</v>
      </c>
      <c r="P67" s="8">
        <f t="shared" si="21"/>
        <v>2673.6</v>
      </c>
      <c r="Q67" s="5">
        <v>56.7</v>
      </c>
      <c r="R67" s="4">
        <f t="shared" si="18"/>
        <v>6682.7</v>
      </c>
      <c r="S67" s="14">
        <f t="shared" si="19"/>
        <v>6232.4</v>
      </c>
      <c r="T67" s="122">
        <v>3191.1</v>
      </c>
      <c r="U67" s="14">
        <f>2255.6</f>
        <v>2255.6</v>
      </c>
      <c r="V67" s="14">
        <v>785.7</v>
      </c>
      <c r="W67" s="14">
        <f>210.8+239.5</f>
        <v>450.3</v>
      </c>
      <c r="X67" s="14">
        <v>8512.9</v>
      </c>
      <c r="Y67" s="14">
        <v>166</v>
      </c>
      <c r="Z67" s="15">
        <v>6825.6</v>
      </c>
      <c r="AA67" s="15">
        <v>6710.1</v>
      </c>
      <c r="AB67" s="15">
        <v>1681</v>
      </c>
      <c r="AC67" s="15">
        <v>89</v>
      </c>
      <c r="AD67" s="15">
        <v>334</v>
      </c>
      <c r="AE67" s="15">
        <v>144</v>
      </c>
      <c r="AF67" s="15">
        <v>10</v>
      </c>
      <c r="AG67" s="15"/>
      <c r="AH67" s="15">
        <f t="shared" si="20"/>
        <v>577</v>
      </c>
      <c r="AI67" s="15">
        <v>1699</v>
      </c>
      <c r="AJ67" s="20"/>
    </row>
    <row r="68" spans="1:36" ht="14.25">
      <c r="A68" s="5">
        <v>10</v>
      </c>
      <c r="B68" s="5"/>
      <c r="C68" s="112" t="s">
        <v>48</v>
      </c>
      <c r="D68" s="5">
        <v>1988</v>
      </c>
      <c r="E68" s="5">
        <v>428</v>
      </c>
      <c r="F68" s="5"/>
      <c r="G68" s="5">
        <v>5</v>
      </c>
      <c r="H68" s="5">
        <v>21</v>
      </c>
      <c r="I68" s="5">
        <v>306</v>
      </c>
      <c r="J68" s="5">
        <v>9362.1</v>
      </c>
      <c r="K68" s="5">
        <v>14579.4</v>
      </c>
      <c r="L68" s="5"/>
      <c r="M68" s="5">
        <f>1706.1+178</f>
        <v>1884.1</v>
      </c>
      <c r="N68" s="5">
        <v>162.9</v>
      </c>
      <c r="O68" s="5">
        <v>219</v>
      </c>
      <c r="P68" s="8">
        <f t="shared" si="21"/>
        <v>1721.1999999999998</v>
      </c>
      <c r="Q68" s="5">
        <v>31.5</v>
      </c>
      <c r="R68" s="4">
        <f t="shared" si="18"/>
        <v>7614</v>
      </c>
      <c r="S68" s="14">
        <f t="shared" si="19"/>
        <v>6313</v>
      </c>
      <c r="T68" s="14">
        <v>2595</v>
      </c>
      <c r="U68" s="14">
        <v>3346</v>
      </c>
      <c r="V68" s="14">
        <v>372</v>
      </c>
      <c r="W68" s="14">
        <f>682+619</f>
        <v>1301</v>
      </c>
      <c r="X68" s="14">
        <v>22914</v>
      </c>
      <c r="Y68" s="14">
        <v>108</v>
      </c>
      <c r="Z68" s="15">
        <v>3806.1</v>
      </c>
      <c r="AA68" s="15">
        <v>3747.2</v>
      </c>
      <c r="AB68" s="15">
        <v>1019</v>
      </c>
      <c r="AC68" s="15">
        <v>50</v>
      </c>
      <c r="AD68" s="15">
        <v>139</v>
      </c>
      <c r="AE68" s="15">
        <v>97</v>
      </c>
      <c r="AF68" s="15">
        <v>20</v>
      </c>
      <c r="AG68" s="15"/>
      <c r="AH68" s="15">
        <f t="shared" si="20"/>
        <v>306</v>
      </c>
      <c r="AI68" s="15">
        <v>1004</v>
      </c>
      <c r="AJ68" s="20"/>
    </row>
    <row r="69" spans="1:36" ht="14.25">
      <c r="A69" s="5">
        <v>11</v>
      </c>
      <c r="B69" s="5"/>
      <c r="C69" s="112" t="s">
        <v>49</v>
      </c>
      <c r="D69" s="5">
        <v>1988</v>
      </c>
      <c r="E69" s="5">
        <v>434</v>
      </c>
      <c r="F69" s="5"/>
      <c r="G69" s="5">
        <v>5</v>
      </c>
      <c r="H69" s="5">
        <v>38</v>
      </c>
      <c r="I69" s="5">
        <v>574</v>
      </c>
      <c r="J69" s="5">
        <v>16583</v>
      </c>
      <c r="K69" s="5">
        <v>26142.4</v>
      </c>
      <c r="L69" s="5"/>
      <c r="M69" s="5">
        <f>2663.2+296</f>
        <v>2959.2</v>
      </c>
      <c r="N69" s="5">
        <v>294</v>
      </c>
      <c r="O69" s="5">
        <v>365</v>
      </c>
      <c r="P69" s="8">
        <f t="shared" si="21"/>
        <v>2665.2</v>
      </c>
      <c r="Q69" s="5">
        <v>57</v>
      </c>
      <c r="R69" s="4">
        <f t="shared" si="18"/>
        <v>8916</v>
      </c>
      <c r="S69" s="14">
        <f t="shared" si="19"/>
        <v>6838</v>
      </c>
      <c r="T69" s="17">
        <v>3965.5</v>
      </c>
      <c r="U69" s="17">
        <v>1748.2</v>
      </c>
      <c r="V69" s="17">
        <v>1124.3</v>
      </c>
      <c r="W69" s="121">
        <f>1207+433+147+291</f>
        <v>2078</v>
      </c>
      <c r="X69" s="14">
        <v>9250.6</v>
      </c>
      <c r="Y69" s="14">
        <v>34</v>
      </c>
      <c r="Z69" s="15">
        <v>7009.9</v>
      </c>
      <c r="AA69" s="15">
        <v>7009.9</v>
      </c>
      <c r="AB69" s="15">
        <v>1820</v>
      </c>
      <c r="AC69" s="15">
        <v>91</v>
      </c>
      <c r="AD69" s="15">
        <v>322</v>
      </c>
      <c r="AE69" s="15">
        <v>150</v>
      </c>
      <c r="AF69" s="15">
        <v>10</v>
      </c>
      <c r="AG69" s="15"/>
      <c r="AH69" s="15">
        <f t="shared" si="20"/>
        <v>573</v>
      </c>
      <c r="AI69" s="15">
        <v>1816</v>
      </c>
      <c r="AJ69" s="20"/>
    </row>
    <row r="70" spans="1:36" ht="14.25">
      <c r="A70" s="21">
        <v>12</v>
      </c>
      <c r="B70" s="22"/>
      <c r="C70" s="123" t="s">
        <v>147</v>
      </c>
      <c r="D70" s="23">
        <v>2009</v>
      </c>
      <c r="E70" s="5">
        <v>732</v>
      </c>
      <c r="F70" s="5"/>
      <c r="G70" s="5">
        <v>10</v>
      </c>
      <c r="H70" s="5">
        <v>2</v>
      </c>
      <c r="I70" s="5">
        <v>158</v>
      </c>
      <c r="J70" s="5">
        <v>3039.1</v>
      </c>
      <c r="K70" s="5">
        <v>6592.9</v>
      </c>
      <c r="L70" s="5"/>
      <c r="M70" s="5">
        <v>401.8</v>
      </c>
      <c r="N70" s="5"/>
      <c r="O70" s="5"/>
      <c r="P70" s="8">
        <f t="shared" si="21"/>
        <v>401.8</v>
      </c>
      <c r="Q70" s="5">
        <v>2.8</v>
      </c>
      <c r="R70" s="4">
        <f t="shared" si="18"/>
        <v>4109</v>
      </c>
      <c r="S70" s="14">
        <f t="shared" si="19"/>
        <v>3628</v>
      </c>
      <c r="T70" s="17">
        <v>2282</v>
      </c>
      <c r="U70" s="17">
        <v>1089</v>
      </c>
      <c r="V70" s="17">
        <v>257</v>
      </c>
      <c r="W70" s="14">
        <v>481</v>
      </c>
      <c r="X70" s="14">
        <v>3059</v>
      </c>
      <c r="Y70" s="14"/>
      <c r="Z70" s="15">
        <v>979.1</v>
      </c>
      <c r="AA70" s="15">
        <v>769.8</v>
      </c>
      <c r="AB70" s="15">
        <v>185</v>
      </c>
      <c r="AC70" s="15">
        <v>118</v>
      </c>
      <c r="AD70" s="15">
        <v>40</v>
      </c>
      <c r="AE70" s="15"/>
      <c r="AF70" s="15"/>
      <c r="AG70" s="15"/>
      <c r="AH70" s="15">
        <v>158</v>
      </c>
      <c r="AI70" s="15"/>
      <c r="AJ70" s="20"/>
    </row>
    <row r="71" spans="1:36" ht="36" customHeight="1">
      <c r="A71" s="142" t="s">
        <v>133</v>
      </c>
      <c r="B71" s="143"/>
      <c r="C71" s="143"/>
      <c r="D71" s="144"/>
      <c r="E71" s="38"/>
      <c r="F71" s="38"/>
      <c r="G71" s="38">
        <f>SUM(G59:G70)</f>
        <v>81</v>
      </c>
      <c r="H71" s="38">
        <f>SUM(H59:H70)</f>
        <v>213</v>
      </c>
      <c r="I71" s="38">
        <f aca="true" t="shared" si="22" ref="I71:X71">SUM(I59:I70)</f>
        <v>3786</v>
      </c>
      <c r="J71" s="38">
        <f t="shared" si="22"/>
        <v>114463.6</v>
      </c>
      <c r="K71" s="38">
        <f t="shared" si="22"/>
        <v>182981.30000000002</v>
      </c>
      <c r="L71" s="38">
        <f t="shared" si="22"/>
        <v>77656.5</v>
      </c>
      <c r="M71" s="38">
        <f t="shared" si="22"/>
        <v>23438.999999999996</v>
      </c>
      <c r="N71" s="38">
        <f t="shared" si="22"/>
        <v>2329.2299999999996</v>
      </c>
      <c r="O71" s="38">
        <f t="shared" si="22"/>
        <v>2689.78</v>
      </c>
      <c r="P71" s="38">
        <f t="shared" si="22"/>
        <v>21109.77</v>
      </c>
      <c r="Q71" s="38">
        <f t="shared" si="22"/>
        <v>338.8</v>
      </c>
      <c r="R71" s="38">
        <f t="shared" si="22"/>
        <v>63523.2</v>
      </c>
      <c r="S71" s="38">
        <f t="shared" si="22"/>
        <v>53699</v>
      </c>
      <c r="T71" s="38">
        <f t="shared" si="22"/>
        <v>27694.2</v>
      </c>
      <c r="U71" s="38">
        <f t="shared" si="22"/>
        <v>19254.2</v>
      </c>
      <c r="V71" s="38">
        <f t="shared" si="22"/>
        <v>6750.6</v>
      </c>
      <c r="W71" s="38">
        <f t="shared" si="22"/>
        <v>9824.2</v>
      </c>
      <c r="X71" s="38">
        <f t="shared" si="22"/>
        <v>118507.1</v>
      </c>
      <c r="Y71" s="38">
        <f>SUM(Y59:Y70)</f>
        <v>1348</v>
      </c>
      <c r="Z71" s="110">
        <f>SUM(Z59:Z70)</f>
        <v>42266</v>
      </c>
      <c r="AA71" s="38">
        <f>SUM(AA59:AA70)</f>
        <v>41505.700000000004</v>
      </c>
      <c r="AB71" s="38">
        <f>SUM(AB59:AB70)</f>
        <v>11194</v>
      </c>
      <c r="AC71" s="38">
        <f aca="true" t="shared" si="23" ref="AC71:AI71">SUM(AC59:AC70)</f>
        <v>631</v>
      </c>
      <c r="AD71" s="38">
        <f t="shared" si="23"/>
        <v>1819</v>
      </c>
      <c r="AE71" s="38">
        <f t="shared" si="23"/>
        <v>1210</v>
      </c>
      <c r="AF71" s="38">
        <f t="shared" si="23"/>
        <v>124</v>
      </c>
      <c r="AG71" s="38">
        <f t="shared" si="23"/>
        <v>0</v>
      </c>
      <c r="AH71" s="38">
        <f t="shared" si="23"/>
        <v>3784</v>
      </c>
      <c r="AI71" s="38">
        <f t="shared" si="23"/>
        <v>11043</v>
      </c>
      <c r="AJ71" s="64">
        <v>2694</v>
      </c>
    </row>
    <row r="72" spans="1:36" ht="14.25">
      <c r="A72" s="5" t="s">
        <v>17</v>
      </c>
      <c r="B72" s="5"/>
      <c r="C72" s="5"/>
      <c r="D72" s="135">
        <v>7</v>
      </c>
      <c r="E72" s="141"/>
      <c r="F72" s="141"/>
      <c r="G72" s="136"/>
      <c r="H72" s="5">
        <f aca="true" t="shared" si="24" ref="H72:AH72">H60+H61+H62+H63+H67+H68+H69</f>
        <v>187</v>
      </c>
      <c r="I72" s="5">
        <f t="shared" si="24"/>
        <v>2771</v>
      </c>
      <c r="J72" s="5">
        <f>J60+J61+J62+J63+J67+J68+J69</f>
        <v>82277.7</v>
      </c>
      <c r="K72" s="5">
        <f t="shared" si="24"/>
        <v>129174.1</v>
      </c>
      <c r="L72" s="5">
        <f t="shared" si="24"/>
        <v>28256.300000000003</v>
      </c>
      <c r="M72" s="5">
        <f t="shared" si="24"/>
        <v>16232.2</v>
      </c>
      <c r="N72" s="5">
        <f t="shared" si="24"/>
        <v>1452.81</v>
      </c>
      <c r="O72" s="5">
        <f t="shared" si="24"/>
        <v>1810.4</v>
      </c>
      <c r="P72" s="5">
        <f t="shared" si="24"/>
        <v>14779.39</v>
      </c>
      <c r="Q72" s="5">
        <f t="shared" si="24"/>
        <v>283.2</v>
      </c>
      <c r="R72" s="14">
        <f t="shared" si="24"/>
        <v>49179.100000000006</v>
      </c>
      <c r="S72" s="14">
        <f t="shared" si="24"/>
        <v>40981.9</v>
      </c>
      <c r="T72" s="14">
        <f t="shared" si="24"/>
        <v>21032.800000000003</v>
      </c>
      <c r="U72" s="14">
        <f t="shared" si="24"/>
        <v>14964.5</v>
      </c>
      <c r="V72" s="14">
        <f t="shared" si="24"/>
        <v>4984.6</v>
      </c>
      <c r="W72" s="14">
        <f t="shared" si="24"/>
        <v>8197.2</v>
      </c>
      <c r="X72" s="14">
        <f t="shared" si="24"/>
        <v>95080.30000000002</v>
      </c>
      <c r="Y72" s="14">
        <f t="shared" si="24"/>
        <v>938</v>
      </c>
      <c r="Z72" s="15">
        <f t="shared" si="24"/>
        <v>33773</v>
      </c>
      <c r="AA72" s="15">
        <f t="shared" si="24"/>
        <v>33308.7</v>
      </c>
      <c r="AB72" s="15">
        <f t="shared" si="24"/>
        <v>8495</v>
      </c>
      <c r="AC72" s="15">
        <f t="shared" si="24"/>
        <v>450</v>
      </c>
      <c r="AD72" s="15">
        <f t="shared" si="24"/>
        <v>1413</v>
      </c>
      <c r="AE72" s="15">
        <f t="shared" si="24"/>
        <v>791</v>
      </c>
      <c r="AF72" s="15">
        <f t="shared" si="24"/>
        <v>115</v>
      </c>
      <c r="AG72" s="15">
        <f t="shared" si="24"/>
        <v>0</v>
      </c>
      <c r="AH72" s="15">
        <f t="shared" si="24"/>
        <v>2769</v>
      </c>
      <c r="AI72" s="15">
        <f>AI60+AI61+AI62+AI63+AI67+AI68+AI69</f>
        <v>8508</v>
      </c>
      <c r="AJ72" s="20"/>
    </row>
    <row r="73" spans="1:39" ht="14.25">
      <c r="A73" s="5" t="s">
        <v>37</v>
      </c>
      <c r="B73" s="5"/>
      <c r="C73" s="5"/>
      <c r="D73" s="135">
        <v>4</v>
      </c>
      <c r="E73" s="141"/>
      <c r="F73" s="141"/>
      <c r="G73" s="136"/>
      <c r="H73" s="5">
        <f aca="true" t="shared" si="25" ref="H73:AH73">H59+H64+H65+H66</f>
        <v>24</v>
      </c>
      <c r="I73" s="5">
        <f t="shared" si="25"/>
        <v>857</v>
      </c>
      <c r="J73" s="5">
        <f t="shared" si="25"/>
        <v>29146.8</v>
      </c>
      <c r="K73" s="5">
        <f t="shared" si="25"/>
        <v>47214.3</v>
      </c>
      <c r="L73" s="5">
        <f t="shared" si="25"/>
        <v>49400.2</v>
      </c>
      <c r="M73" s="5">
        <f t="shared" si="25"/>
        <v>6805</v>
      </c>
      <c r="N73" s="5">
        <f t="shared" si="25"/>
        <v>876.4199999999998</v>
      </c>
      <c r="O73" s="5">
        <f t="shared" si="25"/>
        <v>879.3800000000001</v>
      </c>
      <c r="P73" s="5">
        <f t="shared" si="25"/>
        <v>5928.58</v>
      </c>
      <c r="Q73" s="5">
        <f t="shared" si="25"/>
        <v>52.800000000000004</v>
      </c>
      <c r="R73" s="14">
        <f t="shared" si="25"/>
        <v>10235.1</v>
      </c>
      <c r="S73" s="14">
        <f t="shared" si="25"/>
        <v>9089.1</v>
      </c>
      <c r="T73" s="14">
        <f t="shared" si="25"/>
        <v>4379.4</v>
      </c>
      <c r="U73" s="14">
        <f t="shared" si="25"/>
        <v>3200.7</v>
      </c>
      <c r="V73" s="14">
        <f t="shared" si="25"/>
        <v>1509</v>
      </c>
      <c r="W73" s="14">
        <f t="shared" si="25"/>
        <v>1146</v>
      </c>
      <c r="X73" s="14">
        <f t="shared" si="25"/>
        <v>20367.8</v>
      </c>
      <c r="Y73" s="14">
        <f t="shared" si="25"/>
        <v>410</v>
      </c>
      <c r="Z73" s="15">
        <f t="shared" si="25"/>
        <v>7513.900000000001</v>
      </c>
      <c r="AA73" s="15">
        <f t="shared" si="25"/>
        <v>7427.2</v>
      </c>
      <c r="AB73" s="15">
        <f t="shared" si="25"/>
        <v>2514</v>
      </c>
      <c r="AC73" s="15">
        <f t="shared" si="25"/>
        <v>63</v>
      </c>
      <c r="AD73" s="15">
        <f t="shared" si="25"/>
        <v>366</v>
      </c>
      <c r="AE73" s="15">
        <f t="shared" si="25"/>
        <v>419</v>
      </c>
      <c r="AF73" s="15">
        <f t="shared" si="25"/>
        <v>9</v>
      </c>
      <c r="AG73" s="15">
        <f t="shared" si="25"/>
        <v>0</v>
      </c>
      <c r="AH73" s="15">
        <f t="shared" si="25"/>
        <v>857</v>
      </c>
      <c r="AI73" s="15">
        <f>AI59+AI64+AI65+AI66</f>
        <v>2535</v>
      </c>
      <c r="AJ73" s="20"/>
      <c r="AM73" s="24">
        <f>158357.8+206842.3+176472.8+176686.6</f>
        <v>718359.4999999999</v>
      </c>
    </row>
    <row r="74" spans="1:36" ht="14.25">
      <c r="A74" s="5" t="s">
        <v>128</v>
      </c>
      <c r="B74" s="5"/>
      <c r="C74" s="5"/>
      <c r="D74" s="135">
        <v>1</v>
      </c>
      <c r="E74" s="141"/>
      <c r="F74" s="141"/>
      <c r="G74" s="136"/>
      <c r="H74" s="5">
        <f>H70</f>
        <v>2</v>
      </c>
      <c r="I74" s="5">
        <f aca="true" t="shared" si="26" ref="I74:Z74">I70</f>
        <v>158</v>
      </c>
      <c r="J74" s="5">
        <f t="shared" si="26"/>
        <v>3039.1</v>
      </c>
      <c r="K74" s="5">
        <f>K70</f>
        <v>6592.9</v>
      </c>
      <c r="L74" s="5">
        <f t="shared" si="26"/>
        <v>0</v>
      </c>
      <c r="M74" s="5">
        <f t="shared" si="26"/>
        <v>401.8</v>
      </c>
      <c r="N74" s="5">
        <f t="shared" si="26"/>
        <v>0</v>
      </c>
      <c r="O74" s="5">
        <f t="shared" si="26"/>
        <v>0</v>
      </c>
      <c r="P74" s="5">
        <f t="shared" si="26"/>
        <v>401.8</v>
      </c>
      <c r="Q74" s="5">
        <f t="shared" si="26"/>
        <v>2.8</v>
      </c>
      <c r="R74" s="5">
        <f t="shared" si="26"/>
        <v>4109</v>
      </c>
      <c r="S74" s="5">
        <f t="shared" si="26"/>
        <v>3628</v>
      </c>
      <c r="T74" s="5">
        <f t="shared" si="26"/>
        <v>2282</v>
      </c>
      <c r="U74" s="5">
        <f t="shared" si="26"/>
        <v>1089</v>
      </c>
      <c r="V74" s="5">
        <f t="shared" si="26"/>
        <v>257</v>
      </c>
      <c r="W74" s="5">
        <f t="shared" si="26"/>
        <v>481</v>
      </c>
      <c r="X74" s="5">
        <f t="shared" si="26"/>
        <v>3059</v>
      </c>
      <c r="Y74" s="5">
        <f t="shared" si="26"/>
        <v>0</v>
      </c>
      <c r="Z74" s="5">
        <f t="shared" si="26"/>
        <v>979.1</v>
      </c>
      <c r="AA74" s="5">
        <f>AA70</f>
        <v>769.8</v>
      </c>
      <c r="AB74" s="5">
        <f aca="true" t="shared" si="27" ref="AB74:AI74">AB70</f>
        <v>185</v>
      </c>
      <c r="AC74" s="5">
        <f t="shared" si="27"/>
        <v>118</v>
      </c>
      <c r="AD74" s="5">
        <f t="shared" si="27"/>
        <v>40</v>
      </c>
      <c r="AE74" s="5">
        <f t="shared" si="27"/>
        <v>0</v>
      </c>
      <c r="AF74" s="5">
        <f t="shared" si="27"/>
        <v>0</v>
      </c>
      <c r="AG74" s="5">
        <f t="shared" si="27"/>
        <v>0</v>
      </c>
      <c r="AH74" s="5">
        <f t="shared" si="27"/>
        <v>158</v>
      </c>
      <c r="AI74" s="5">
        <f t="shared" si="27"/>
        <v>0</v>
      </c>
      <c r="AJ74" s="20"/>
    </row>
    <row r="75" spans="1:36" ht="14.25" hidden="1">
      <c r="A75" s="5" t="s">
        <v>50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4"/>
      <c r="S75" s="14"/>
      <c r="T75" s="14"/>
      <c r="U75" s="14"/>
      <c r="V75" s="14"/>
      <c r="W75" s="14"/>
      <c r="X75" s="14"/>
      <c r="Y75" s="14"/>
      <c r="Z75" s="15"/>
      <c r="AA75" s="15"/>
      <c r="AB75" s="15"/>
      <c r="AC75" s="15"/>
      <c r="AD75" s="15"/>
      <c r="AE75" s="15"/>
      <c r="AF75" s="15"/>
      <c r="AG75" s="15"/>
      <c r="AH75" s="15"/>
      <c r="AI75" s="20"/>
      <c r="AJ75" s="20"/>
    </row>
    <row r="76" spans="1:39" ht="14.2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66"/>
      <c r="S76" s="66"/>
      <c r="T76" s="66"/>
      <c r="U76" s="66"/>
      <c r="V76" s="66"/>
      <c r="W76" s="66"/>
      <c r="X76" s="66"/>
      <c r="Y76" s="66"/>
      <c r="Z76" s="67"/>
      <c r="AA76" s="67"/>
      <c r="AB76" s="67"/>
      <c r="AC76" s="67"/>
      <c r="AD76" s="67"/>
      <c r="AE76" s="67"/>
      <c r="AF76" s="67"/>
      <c r="AG76" s="67"/>
      <c r="AH76" s="67"/>
      <c r="AI76" s="20"/>
      <c r="AJ76" s="20"/>
      <c r="AM76" s="24">
        <f>158358+206842.3+176472.8+176687</f>
        <v>718360.1</v>
      </c>
    </row>
    <row r="77" spans="3:36" ht="15">
      <c r="C77" s="68" t="s">
        <v>56</v>
      </c>
      <c r="D77" s="69"/>
      <c r="E77" s="69"/>
      <c r="F77" s="69"/>
      <c r="G77" s="69"/>
      <c r="H77" s="69"/>
      <c r="I77" s="69"/>
      <c r="R77" s="70"/>
      <c r="S77" s="70"/>
      <c r="T77" s="70"/>
      <c r="U77" s="70"/>
      <c r="V77" s="70"/>
      <c r="W77" s="70"/>
      <c r="X77" s="70"/>
      <c r="Y77" s="7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</row>
    <row r="78" spans="3:36" ht="15">
      <c r="C78" s="68" t="s">
        <v>76</v>
      </c>
      <c r="D78" s="69"/>
      <c r="E78" s="69"/>
      <c r="F78" s="69"/>
      <c r="G78" s="69"/>
      <c r="H78" s="69"/>
      <c r="I78" s="149" t="s">
        <v>161</v>
      </c>
      <c r="J78" s="149"/>
      <c r="K78" s="149"/>
      <c r="L78" s="149"/>
      <c r="M78" s="149"/>
      <c r="N78" s="149"/>
      <c r="O78" s="149"/>
      <c r="R78" s="70"/>
      <c r="S78" s="70"/>
      <c r="T78" s="70"/>
      <c r="U78" s="70"/>
      <c r="V78" s="70"/>
      <c r="W78" s="70"/>
      <c r="X78" s="70"/>
      <c r="Y78" s="7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</row>
    <row r="79" spans="1:36" ht="112.5" customHeight="1">
      <c r="A79" s="74" t="s">
        <v>0</v>
      </c>
      <c r="B79" s="74"/>
      <c r="C79" s="59" t="s">
        <v>1</v>
      </c>
      <c r="D79" s="75" t="s">
        <v>74</v>
      </c>
      <c r="E79" s="75" t="s">
        <v>72</v>
      </c>
      <c r="F79" s="59" t="s">
        <v>73</v>
      </c>
      <c r="G79" s="75" t="s">
        <v>57</v>
      </c>
      <c r="H79" s="75" t="s">
        <v>58</v>
      </c>
      <c r="I79" s="75" t="s">
        <v>59</v>
      </c>
      <c r="J79" s="75" t="s">
        <v>60</v>
      </c>
      <c r="K79" s="75" t="s">
        <v>2</v>
      </c>
      <c r="L79" s="59" t="s">
        <v>113</v>
      </c>
      <c r="M79" s="75" t="s">
        <v>117</v>
      </c>
      <c r="N79" s="34" t="s">
        <v>61</v>
      </c>
      <c r="O79" s="75" t="s">
        <v>120</v>
      </c>
      <c r="P79" s="75" t="s">
        <v>119</v>
      </c>
      <c r="Q79" s="75" t="s">
        <v>62</v>
      </c>
      <c r="R79" s="71" t="s">
        <v>63</v>
      </c>
      <c r="S79" s="71" t="s">
        <v>84</v>
      </c>
      <c r="T79" s="108" t="s">
        <v>81</v>
      </c>
      <c r="U79" s="108" t="s">
        <v>82</v>
      </c>
      <c r="V79" s="108" t="s">
        <v>83</v>
      </c>
      <c r="W79" s="108" t="s">
        <v>116</v>
      </c>
      <c r="X79" s="108" t="s">
        <v>64</v>
      </c>
      <c r="Y79" s="71" t="s">
        <v>65</v>
      </c>
      <c r="Z79" s="71" t="s">
        <v>114</v>
      </c>
      <c r="AA79" s="72" t="s">
        <v>115</v>
      </c>
      <c r="AB79" s="71" t="s">
        <v>66</v>
      </c>
      <c r="AC79" s="73" t="s">
        <v>67</v>
      </c>
      <c r="AD79" s="73" t="s">
        <v>68</v>
      </c>
      <c r="AE79" s="73" t="s">
        <v>69</v>
      </c>
      <c r="AF79" s="73" t="s">
        <v>70</v>
      </c>
      <c r="AG79" s="73" t="s">
        <v>71</v>
      </c>
      <c r="AH79" s="73" t="s">
        <v>77</v>
      </c>
      <c r="AI79" s="71" t="s">
        <v>66</v>
      </c>
      <c r="AJ79" s="20"/>
    </row>
    <row r="80" spans="1:36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4"/>
      <c r="S80" s="14"/>
      <c r="T80" s="14"/>
      <c r="U80" s="14"/>
      <c r="V80" s="14"/>
      <c r="W80" s="14"/>
      <c r="X80" s="14"/>
      <c r="Y80" s="14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20"/>
    </row>
    <row r="81" spans="1:36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8">
        <f>M81-O81</f>
        <v>0</v>
      </c>
      <c r="Q81" s="5"/>
      <c r="R81" s="14"/>
      <c r="S81" s="14"/>
      <c r="T81" s="14"/>
      <c r="U81" s="14"/>
      <c r="V81" s="14"/>
      <c r="W81" s="14"/>
      <c r="X81" s="14"/>
      <c r="Y81" s="14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20"/>
    </row>
    <row r="82" spans="1:36" ht="14.25">
      <c r="A82" s="5">
        <v>1</v>
      </c>
      <c r="B82" s="5"/>
      <c r="C82" s="112" t="s">
        <v>51</v>
      </c>
      <c r="D82" s="5">
        <v>1981</v>
      </c>
      <c r="E82" s="5">
        <v>375</v>
      </c>
      <c r="F82" s="5"/>
      <c r="G82" s="5">
        <v>5</v>
      </c>
      <c r="H82" s="5">
        <v>62</v>
      </c>
      <c r="I82" s="5">
        <v>927</v>
      </c>
      <c r="J82" s="5">
        <v>28280.9</v>
      </c>
      <c r="K82" s="5">
        <v>43842.6</v>
      </c>
      <c r="L82" s="5"/>
      <c r="M82" s="5">
        <v>5508.5</v>
      </c>
      <c r="N82" s="5">
        <v>663.6</v>
      </c>
      <c r="O82" s="8">
        <f>M82-P82</f>
        <v>663.6000000000004</v>
      </c>
      <c r="P82" s="8">
        <f>M82-N82</f>
        <v>4844.9</v>
      </c>
      <c r="Q82" s="5">
        <v>94.8</v>
      </c>
      <c r="R82" s="4">
        <f aca="true" t="shared" si="28" ref="R82:R89">T82+U82+V82+W82</f>
        <v>17907</v>
      </c>
      <c r="S82" s="14">
        <f aca="true" t="shared" si="29" ref="S82:S89">T82+U82+V82</f>
        <v>15546</v>
      </c>
      <c r="T82" s="17">
        <v>9020</v>
      </c>
      <c r="U82" s="17">
        <f>5087+146</f>
        <v>5233</v>
      </c>
      <c r="V82" s="17">
        <v>1293</v>
      </c>
      <c r="W82" s="14">
        <f>1722+639</f>
        <v>2361</v>
      </c>
      <c r="X82" s="14">
        <f>5472+29646</f>
        <v>35118</v>
      </c>
      <c r="Y82" s="14">
        <v>372</v>
      </c>
      <c r="Z82" s="15">
        <v>11100.9</v>
      </c>
      <c r="AA82" s="18">
        <v>11100.9</v>
      </c>
      <c r="AB82" s="15">
        <v>2674</v>
      </c>
      <c r="AC82" s="15">
        <v>119</v>
      </c>
      <c r="AD82" s="15">
        <f>492-5</f>
        <v>487</v>
      </c>
      <c r="AE82" s="15">
        <v>286</v>
      </c>
      <c r="AF82" s="15">
        <v>35</v>
      </c>
      <c r="AG82" s="15"/>
      <c r="AH82" s="15">
        <f aca="true" t="shared" si="30" ref="AH82:AH87">SUM(AC82:AG82)</f>
        <v>927</v>
      </c>
      <c r="AI82" s="15">
        <v>2683</v>
      </c>
      <c r="AJ82" s="20"/>
    </row>
    <row r="83" spans="1:36" ht="14.25">
      <c r="A83" s="5">
        <v>2</v>
      </c>
      <c r="B83" s="5"/>
      <c r="C83" s="112" t="s">
        <v>52</v>
      </c>
      <c r="D83" s="5">
        <v>1981</v>
      </c>
      <c r="E83" s="5">
        <v>377</v>
      </c>
      <c r="F83" s="5"/>
      <c r="G83" s="5">
        <v>9</v>
      </c>
      <c r="H83" s="5">
        <v>7</v>
      </c>
      <c r="I83" s="5">
        <v>252</v>
      </c>
      <c r="J83" s="5">
        <v>8686.3</v>
      </c>
      <c r="K83" s="5">
        <v>14627.2</v>
      </c>
      <c r="L83" s="5"/>
      <c r="M83" s="5">
        <v>2341.3</v>
      </c>
      <c r="N83" s="5">
        <v>348.49</v>
      </c>
      <c r="O83" s="5">
        <v>486.8</v>
      </c>
      <c r="P83" s="8">
        <f>M83-N83</f>
        <v>1992.8100000000002</v>
      </c>
      <c r="Q83" s="5">
        <v>12.6</v>
      </c>
      <c r="R83" s="4">
        <f t="shared" si="28"/>
        <v>2067.1</v>
      </c>
      <c r="S83" s="14">
        <f t="shared" si="29"/>
        <v>1818.8</v>
      </c>
      <c r="T83" s="121">
        <v>529.9</v>
      </c>
      <c r="U83" s="121">
        <v>831.1</v>
      </c>
      <c r="V83" s="121">
        <v>457.8</v>
      </c>
      <c r="W83" s="121">
        <v>248.3</v>
      </c>
      <c r="X83" s="121">
        <v>4409.6</v>
      </c>
      <c r="Y83" s="14">
        <v>223</v>
      </c>
      <c r="Z83" s="15">
        <v>2343.1</v>
      </c>
      <c r="AA83" s="15">
        <v>2349.7</v>
      </c>
      <c r="AB83" s="15">
        <v>747</v>
      </c>
      <c r="AC83" s="15">
        <v>1</v>
      </c>
      <c r="AD83" s="15">
        <v>128</v>
      </c>
      <c r="AE83" s="15">
        <v>123</v>
      </c>
      <c r="AF83" s="15"/>
      <c r="AG83" s="15"/>
      <c r="AH83" s="15">
        <f t="shared" si="30"/>
        <v>252</v>
      </c>
      <c r="AI83" s="15">
        <v>748</v>
      </c>
      <c r="AJ83" s="20"/>
    </row>
    <row r="84" spans="1:36" ht="14.25">
      <c r="A84" s="5">
        <v>3</v>
      </c>
      <c r="B84" s="5"/>
      <c r="C84" s="112" t="s">
        <v>53</v>
      </c>
      <c r="D84" s="5">
        <v>1982</v>
      </c>
      <c r="E84" s="5">
        <v>376</v>
      </c>
      <c r="F84" s="5"/>
      <c r="G84" s="5">
        <v>5</v>
      </c>
      <c r="H84" s="5">
        <v>48</v>
      </c>
      <c r="I84" s="5">
        <v>717</v>
      </c>
      <c r="J84" s="115">
        <v>22333.6</v>
      </c>
      <c r="K84" s="115">
        <v>34644</v>
      </c>
      <c r="L84" s="5"/>
      <c r="M84" s="5">
        <v>4643.8</v>
      </c>
      <c r="N84" s="5">
        <v>552.7</v>
      </c>
      <c r="O84" s="5">
        <v>601.171</v>
      </c>
      <c r="P84" s="8">
        <f aca="true" t="shared" si="31" ref="P84:P89">M84-N84</f>
        <v>4091.1000000000004</v>
      </c>
      <c r="Q84" s="5">
        <v>65</v>
      </c>
      <c r="R84" s="4">
        <f t="shared" si="28"/>
        <v>8776</v>
      </c>
      <c r="S84" s="14">
        <f t="shared" si="29"/>
        <v>7918.9</v>
      </c>
      <c r="T84" s="124">
        <v>3950.3</v>
      </c>
      <c r="U84" s="124">
        <v>2221.5</v>
      </c>
      <c r="V84" s="124">
        <v>1747.1</v>
      </c>
      <c r="W84" s="124">
        <f>449.5+407.6</f>
        <v>857.1</v>
      </c>
      <c r="X84" s="124">
        <v>14262</v>
      </c>
      <c r="Y84" s="14">
        <v>453</v>
      </c>
      <c r="Z84" s="15">
        <v>8778.3</v>
      </c>
      <c r="AA84" s="15">
        <v>8778.3</v>
      </c>
      <c r="AB84" s="15">
        <v>2068</v>
      </c>
      <c r="AC84" s="15">
        <v>96</v>
      </c>
      <c r="AD84" s="15">
        <v>349</v>
      </c>
      <c r="AE84" s="15">
        <v>237</v>
      </c>
      <c r="AF84" s="15">
        <v>35</v>
      </c>
      <c r="AG84" s="15"/>
      <c r="AH84" s="15">
        <f t="shared" si="30"/>
        <v>717</v>
      </c>
      <c r="AI84" s="15">
        <v>2071</v>
      </c>
      <c r="AJ84" s="20"/>
    </row>
    <row r="85" spans="1:36" ht="14.25">
      <c r="A85" s="5">
        <v>4</v>
      </c>
      <c r="B85" s="5"/>
      <c r="C85" s="112" t="s">
        <v>54</v>
      </c>
      <c r="D85" s="5">
        <v>1982</v>
      </c>
      <c r="E85" s="5">
        <v>378</v>
      </c>
      <c r="F85" s="5"/>
      <c r="G85" s="5">
        <v>5</v>
      </c>
      <c r="H85" s="5">
        <v>40</v>
      </c>
      <c r="I85" s="5">
        <v>614</v>
      </c>
      <c r="J85" s="5">
        <v>18239.8</v>
      </c>
      <c r="K85" s="5">
        <v>28659.4</v>
      </c>
      <c r="L85" s="5">
        <v>33029.1</v>
      </c>
      <c r="M85" s="5">
        <v>3891</v>
      </c>
      <c r="N85" s="5">
        <v>434.2</v>
      </c>
      <c r="O85" s="5">
        <v>463.2</v>
      </c>
      <c r="P85" s="8">
        <f t="shared" si="31"/>
        <v>3456.8</v>
      </c>
      <c r="Q85" s="5">
        <v>58.2</v>
      </c>
      <c r="R85" s="4">
        <f t="shared" si="28"/>
        <v>8919</v>
      </c>
      <c r="S85" s="14">
        <f t="shared" si="29"/>
        <v>7854</v>
      </c>
      <c r="T85" s="14">
        <v>3933</v>
      </c>
      <c r="U85" s="14">
        <f>2970</f>
        <v>2970</v>
      </c>
      <c r="V85" s="14">
        <v>951</v>
      </c>
      <c r="W85" s="14">
        <f>761+304</f>
        <v>1065</v>
      </c>
      <c r="X85" s="14">
        <v>23606</v>
      </c>
      <c r="Y85" s="14">
        <v>339</v>
      </c>
      <c r="Z85" s="15">
        <v>7470.1</v>
      </c>
      <c r="AA85" s="15">
        <v>7296</v>
      </c>
      <c r="AB85" s="15">
        <v>1750</v>
      </c>
      <c r="AC85" s="15">
        <v>85</v>
      </c>
      <c r="AD85" s="15">
        <v>348</v>
      </c>
      <c r="AE85" s="15">
        <v>172</v>
      </c>
      <c r="AF85" s="15">
        <v>9</v>
      </c>
      <c r="AG85" s="15"/>
      <c r="AH85" s="15">
        <f t="shared" si="30"/>
        <v>614</v>
      </c>
      <c r="AI85" s="15">
        <v>1762</v>
      </c>
      <c r="AJ85" s="20"/>
    </row>
    <row r="86" spans="1:36" ht="14.25">
      <c r="A86" s="5">
        <v>5</v>
      </c>
      <c r="B86" s="5"/>
      <c r="C86" s="112" t="s">
        <v>55</v>
      </c>
      <c r="D86" s="5">
        <v>1982</v>
      </c>
      <c r="E86" s="5">
        <v>379</v>
      </c>
      <c r="F86" s="5"/>
      <c r="G86" s="5">
        <v>9</v>
      </c>
      <c r="H86" s="5">
        <v>10</v>
      </c>
      <c r="I86" s="5">
        <v>358</v>
      </c>
      <c r="J86" s="5">
        <v>12238.1</v>
      </c>
      <c r="K86" s="5">
        <v>20669.2</v>
      </c>
      <c r="L86" s="5">
        <v>23821</v>
      </c>
      <c r="M86" s="5">
        <v>3732.8</v>
      </c>
      <c r="N86" s="5">
        <v>437.33</v>
      </c>
      <c r="O86" s="5">
        <v>373.36</v>
      </c>
      <c r="P86" s="8">
        <f t="shared" si="31"/>
        <v>3295.4700000000003</v>
      </c>
      <c r="Q86" s="5">
        <v>20</v>
      </c>
      <c r="R86" s="4">
        <f t="shared" si="28"/>
        <v>5319</v>
      </c>
      <c r="S86" s="14">
        <f t="shared" si="29"/>
        <v>4657</v>
      </c>
      <c r="T86" s="14">
        <v>2739</v>
      </c>
      <c r="U86" s="14">
        <f>1304</f>
        <v>1304</v>
      </c>
      <c r="V86" s="14">
        <v>614</v>
      </c>
      <c r="W86" s="14">
        <f>326+336</f>
        <v>662</v>
      </c>
      <c r="X86" s="14">
        <v>10999</v>
      </c>
      <c r="Y86" s="14">
        <v>130</v>
      </c>
      <c r="Z86" s="16">
        <v>3336.4</v>
      </c>
      <c r="AA86" s="15">
        <v>3336.4</v>
      </c>
      <c r="AB86" s="15">
        <v>1071</v>
      </c>
      <c r="AC86" s="15">
        <v>4</v>
      </c>
      <c r="AD86" s="15">
        <v>180</v>
      </c>
      <c r="AE86" s="15">
        <v>174</v>
      </c>
      <c r="AF86" s="15"/>
      <c r="AG86" s="15"/>
      <c r="AH86" s="15">
        <f t="shared" si="30"/>
        <v>358</v>
      </c>
      <c r="AI86" s="15">
        <v>1089</v>
      </c>
      <c r="AJ86" s="20"/>
    </row>
    <row r="87" spans="1:36" ht="14.25">
      <c r="A87" s="5">
        <v>6</v>
      </c>
      <c r="B87" s="5"/>
      <c r="C87" s="112" t="s">
        <v>46</v>
      </c>
      <c r="D87" s="5">
        <v>1985</v>
      </c>
      <c r="E87" s="5">
        <v>370</v>
      </c>
      <c r="F87" s="5"/>
      <c r="G87" s="5">
        <v>5</v>
      </c>
      <c r="H87" s="5">
        <v>38</v>
      </c>
      <c r="I87" s="5">
        <v>545</v>
      </c>
      <c r="J87" s="5">
        <v>16848.5</v>
      </c>
      <c r="K87" s="5">
        <v>26295.3</v>
      </c>
      <c r="L87" s="5">
        <v>30568.2</v>
      </c>
      <c r="M87" s="5">
        <v>3186.5</v>
      </c>
      <c r="N87" s="5">
        <v>249</v>
      </c>
      <c r="O87" s="5">
        <v>251.62</v>
      </c>
      <c r="P87" s="8">
        <f t="shared" si="31"/>
        <v>2937.5</v>
      </c>
      <c r="Q87" s="5">
        <v>56.8</v>
      </c>
      <c r="R87" s="4">
        <f t="shared" si="28"/>
        <v>6279.099999999999</v>
      </c>
      <c r="S87" s="14">
        <f t="shared" si="29"/>
        <v>6026.9</v>
      </c>
      <c r="T87" s="122">
        <v>2920.6</v>
      </c>
      <c r="U87" s="14">
        <v>2177.1</v>
      </c>
      <c r="V87" s="14">
        <v>929.2</v>
      </c>
      <c r="W87" s="14">
        <v>252.2</v>
      </c>
      <c r="X87" s="14">
        <v>9933.5</v>
      </c>
      <c r="Y87" s="14">
        <v>276</v>
      </c>
      <c r="Z87" s="15">
        <v>6801.1</v>
      </c>
      <c r="AA87" s="15">
        <v>6685.6</v>
      </c>
      <c r="AB87" s="15">
        <v>1634</v>
      </c>
      <c r="AC87" s="15">
        <v>86</v>
      </c>
      <c r="AD87" s="15">
        <v>242</v>
      </c>
      <c r="AE87" s="15">
        <v>177</v>
      </c>
      <c r="AF87" s="15">
        <v>40</v>
      </c>
      <c r="AG87" s="15"/>
      <c r="AH87" s="15">
        <f t="shared" si="30"/>
        <v>545</v>
      </c>
      <c r="AI87" s="15">
        <v>1663</v>
      </c>
      <c r="AJ87" s="20"/>
    </row>
    <row r="88" spans="1:36" ht="28.5">
      <c r="A88" s="5">
        <v>7</v>
      </c>
      <c r="B88" s="5"/>
      <c r="C88" s="74" t="s">
        <v>106</v>
      </c>
      <c r="D88" s="5">
        <v>2009</v>
      </c>
      <c r="E88" s="5">
        <v>739</v>
      </c>
      <c r="F88" s="5"/>
      <c r="G88" s="5">
        <v>10</v>
      </c>
      <c r="H88" s="5">
        <v>3</v>
      </c>
      <c r="I88" s="5">
        <v>116</v>
      </c>
      <c r="J88" s="5">
        <v>4351.4</v>
      </c>
      <c r="K88" s="5">
        <v>8024.8</v>
      </c>
      <c r="L88" s="5"/>
      <c r="M88" s="5">
        <v>748.1</v>
      </c>
      <c r="N88" s="5"/>
      <c r="O88" s="5">
        <v>0</v>
      </c>
      <c r="P88" s="8">
        <f>M88-N88</f>
        <v>748.1</v>
      </c>
      <c r="Q88" s="5">
        <v>5.1</v>
      </c>
      <c r="R88" s="4">
        <f t="shared" si="28"/>
        <v>1596.36</v>
      </c>
      <c r="S88" s="14">
        <f t="shared" si="29"/>
        <v>1490.56</v>
      </c>
      <c r="T88" s="14">
        <f>543.2</f>
        <v>543.2</v>
      </c>
      <c r="U88" s="14">
        <f>387.4+364.9</f>
        <v>752.3</v>
      </c>
      <c r="V88" s="19">
        <v>195.06</v>
      </c>
      <c r="W88" s="14">
        <v>105.8</v>
      </c>
      <c r="X88" s="14">
        <v>1630</v>
      </c>
      <c r="Y88" s="14">
        <v>7</v>
      </c>
      <c r="Z88" s="15">
        <v>1042.9</v>
      </c>
      <c r="AA88" s="15">
        <v>1200.4</v>
      </c>
      <c r="AB88" s="15">
        <v>173</v>
      </c>
      <c r="AC88" s="15">
        <v>31</v>
      </c>
      <c r="AD88" s="15">
        <v>38</v>
      </c>
      <c r="AE88" s="15">
        <v>47</v>
      </c>
      <c r="AF88" s="15"/>
      <c r="AG88" s="15"/>
      <c r="AH88" s="15">
        <f>SUM(AC88:AG88)</f>
        <v>116</v>
      </c>
      <c r="AI88" s="15">
        <v>158</v>
      </c>
      <c r="AJ88" s="20"/>
    </row>
    <row r="89" spans="1:36" ht="14.25">
      <c r="A89" s="21">
        <v>8</v>
      </c>
      <c r="B89" s="22"/>
      <c r="C89" s="125" t="s">
        <v>130</v>
      </c>
      <c r="D89" s="23">
        <v>2016</v>
      </c>
      <c r="E89" s="5">
        <v>10557</v>
      </c>
      <c r="F89" s="5"/>
      <c r="G89" s="5">
        <v>17</v>
      </c>
      <c r="H89" s="5">
        <v>1</v>
      </c>
      <c r="I89" s="5">
        <v>135</v>
      </c>
      <c r="J89" s="5">
        <v>3806.3</v>
      </c>
      <c r="K89" s="5">
        <v>7495.9</v>
      </c>
      <c r="L89" s="5"/>
      <c r="M89" s="5">
        <v>1628.5</v>
      </c>
      <c r="N89" s="5"/>
      <c r="O89" s="5"/>
      <c r="P89" s="8">
        <f t="shared" si="31"/>
        <v>1628.5</v>
      </c>
      <c r="Q89" s="5">
        <v>7.6</v>
      </c>
      <c r="R89" s="4">
        <f t="shared" si="28"/>
        <v>2398.5</v>
      </c>
      <c r="S89" s="14">
        <f t="shared" si="29"/>
        <v>1734.6</v>
      </c>
      <c r="T89" s="14">
        <v>1016.5</v>
      </c>
      <c r="U89" s="14">
        <v>492.6</v>
      </c>
      <c r="V89" s="19">
        <v>225.5</v>
      </c>
      <c r="W89" s="14">
        <f>570.8+93.1</f>
        <v>663.9</v>
      </c>
      <c r="X89" s="14">
        <v>2951.5</v>
      </c>
      <c r="Y89" s="14"/>
      <c r="Z89" s="15">
        <v>728.9</v>
      </c>
      <c r="AA89" s="15">
        <v>546.6</v>
      </c>
      <c r="AB89" s="15">
        <v>83</v>
      </c>
      <c r="AC89" s="15">
        <v>68</v>
      </c>
      <c r="AD89" s="15">
        <v>67</v>
      </c>
      <c r="AE89" s="15"/>
      <c r="AF89" s="15"/>
      <c r="AG89" s="15"/>
      <c r="AH89" s="15">
        <f>AD89+AC89</f>
        <v>135</v>
      </c>
      <c r="AI89" s="15"/>
      <c r="AJ89" s="20"/>
    </row>
    <row r="90" spans="1:36" ht="36" customHeight="1">
      <c r="A90" s="142" t="s">
        <v>134</v>
      </c>
      <c r="B90" s="143"/>
      <c r="C90" s="143"/>
      <c r="D90" s="144"/>
      <c r="E90" s="38"/>
      <c r="F90" s="38"/>
      <c r="G90" s="38"/>
      <c r="H90" s="38">
        <f>SUM(H82:H89)</f>
        <v>209</v>
      </c>
      <c r="I90" s="38">
        <f>SUM(I82:I89)</f>
        <v>3664</v>
      </c>
      <c r="J90" s="38">
        <f>SUM(J82:J89)</f>
        <v>114784.9</v>
      </c>
      <c r="K90" s="38">
        <f aca="true" t="shared" si="32" ref="K90:AI90">SUM(K82:K89)</f>
        <v>184258.4</v>
      </c>
      <c r="L90" s="38">
        <f t="shared" si="32"/>
        <v>87418.3</v>
      </c>
      <c r="M90" s="38">
        <f t="shared" si="32"/>
        <v>25680.499999999996</v>
      </c>
      <c r="N90" s="38">
        <f t="shared" si="32"/>
        <v>2685.32</v>
      </c>
      <c r="O90" s="38">
        <f t="shared" si="32"/>
        <v>2839.751</v>
      </c>
      <c r="P90" s="38">
        <f t="shared" si="32"/>
        <v>22995.18</v>
      </c>
      <c r="Q90" s="38">
        <f t="shared" si="32"/>
        <v>320.1</v>
      </c>
      <c r="R90" s="38">
        <f t="shared" si="32"/>
        <v>53262.06</v>
      </c>
      <c r="S90" s="38">
        <f t="shared" si="32"/>
        <v>47046.759999999995</v>
      </c>
      <c r="T90" s="38">
        <f t="shared" si="32"/>
        <v>24652.5</v>
      </c>
      <c r="U90" s="38">
        <f t="shared" si="32"/>
        <v>15981.6</v>
      </c>
      <c r="V90" s="38">
        <f t="shared" si="32"/>
        <v>6412.66</v>
      </c>
      <c r="W90" s="38">
        <f t="shared" si="32"/>
        <v>6215.299999999999</v>
      </c>
      <c r="X90" s="38">
        <f t="shared" si="32"/>
        <v>102909.6</v>
      </c>
      <c r="Y90" s="38">
        <f t="shared" si="32"/>
        <v>1800</v>
      </c>
      <c r="Z90" s="110">
        <f t="shared" si="32"/>
        <v>41601.700000000004</v>
      </c>
      <c r="AA90" s="110">
        <f t="shared" si="32"/>
        <v>41293.899999999994</v>
      </c>
      <c r="AB90" s="38">
        <f t="shared" si="32"/>
        <v>10200</v>
      </c>
      <c r="AC90" s="38">
        <f t="shared" si="32"/>
        <v>490</v>
      </c>
      <c r="AD90" s="38">
        <f t="shared" si="32"/>
        <v>1839</v>
      </c>
      <c r="AE90" s="38">
        <f t="shared" si="32"/>
        <v>1216</v>
      </c>
      <c r="AF90" s="38">
        <f t="shared" si="32"/>
        <v>119</v>
      </c>
      <c r="AG90" s="38">
        <f t="shared" si="32"/>
        <v>0</v>
      </c>
      <c r="AH90" s="38">
        <f t="shared" si="32"/>
        <v>3664</v>
      </c>
      <c r="AI90" s="38">
        <f t="shared" si="32"/>
        <v>10174</v>
      </c>
      <c r="AJ90" s="64">
        <v>2100</v>
      </c>
    </row>
    <row r="91" spans="1:36" ht="14.25">
      <c r="A91" s="5" t="s">
        <v>17</v>
      </c>
      <c r="B91" s="5"/>
      <c r="C91" s="5"/>
      <c r="D91" s="135">
        <v>4</v>
      </c>
      <c r="E91" s="141"/>
      <c r="F91" s="141"/>
      <c r="G91" s="136"/>
      <c r="H91" s="5">
        <f>H82+H84+H85+H87</f>
        <v>188</v>
      </c>
      <c r="I91" s="5">
        <f aca="true" t="shared" si="33" ref="I91:AH91">I82+I84+I85+I87</f>
        <v>2803</v>
      </c>
      <c r="J91" s="5">
        <f>J82+J84+J85+J87</f>
        <v>85702.8</v>
      </c>
      <c r="K91" s="5">
        <f t="shared" si="33"/>
        <v>133441.3</v>
      </c>
      <c r="L91" s="5">
        <f t="shared" si="33"/>
        <v>63597.3</v>
      </c>
      <c r="M91" s="5">
        <f t="shared" si="33"/>
        <v>17229.8</v>
      </c>
      <c r="N91" s="5">
        <f t="shared" si="33"/>
        <v>1899.5000000000002</v>
      </c>
      <c r="O91" s="5">
        <f t="shared" si="33"/>
        <v>1979.5910000000003</v>
      </c>
      <c r="P91" s="5">
        <f t="shared" si="33"/>
        <v>15330.3</v>
      </c>
      <c r="Q91" s="5">
        <f t="shared" si="33"/>
        <v>274.8</v>
      </c>
      <c r="R91" s="15">
        <f>R82+R84+R85+R87</f>
        <v>41881.1</v>
      </c>
      <c r="S91" s="15">
        <f t="shared" si="33"/>
        <v>37345.8</v>
      </c>
      <c r="T91" s="15">
        <f t="shared" si="33"/>
        <v>19823.899999999998</v>
      </c>
      <c r="U91" s="15">
        <f t="shared" si="33"/>
        <v>12601.6</v>
      </c>
      <c r="V91" s="15">
        <f t="shared" si="33"/>
        <v>4920.3</v>
      </c>
      <c r="W91" s="15">
        <f t="shared" si="33"/>
        <v>4535.3</v>
      </c>
      <c r="X91" s="15">
        <f t="shared" si="33"/>
        <v>82919.5</v>
      </c>
      <c r="Y91" s="15">
        <f t="shared" si="33"/>
        <v>1440</v>
      </c>
      <c r="Z91" s="15">
        <f t="shared" si="33"/>
        <v>34150.399999999994</v>
      </c>
      <c r="AA91" s="15">
        <f t="shared" si="33"/>
        <v>33860.799999999996</v>
      </c>
      <c r="AB91" s="15">
        <f t="shared" si="33"/>
        <v>8126</v>
      </c>
      <c r="AC91" s="15">
        <f t="shared" si="33"/>
        <v>386</v>
      </c>
      <c r="AD91" s="15">
        <f t="shared" si="33"/>
        <v>1426</v>
      </c>
      <c r="AE91" s="15">
        <f t="shared" si="33"/>
        <v>872</v>
      </c>
      <c r="AF91" s="15">
        <f t="shared" si="33"/>
        <v>119</v>
      </c>
      <c r="AG91" s="15">
        <f t="shared" si="33"/>
        <v>0</v>
      </c>
      <c r="AH91" s="15">
        <f t="shared" si="33"/>
        <v>2803</v>
      </c>
      <c r="AI91" s="15">
        <f>AI82+AI84+AI85+AI87</f>
        <v>8179</v>
      </c>
      <c r="AJ91" s="20"/>
    </row>
    <row r="92" spans="1:36" ht="14.25">
      <c r="A92" s="5" t="s">
        <v>37</v>
      </c>
      <c r="B92" s="5"/>
      <c r="C92" s="5"/>
      <c r="D92" s="135">
        <v>2</v>
      </c>
      <c r="E92" s="141"/>
      <c r="F92" s="141"/>
      <c r="G92" s="136"/>
      <c r="H92" s="5">
        <f aca="true" t="shared" si="34" ref="H92:AH92">H83+H86</f>
        <v>17</v>
      </c>
      <c r="I92" s="5">
        <f t="shared" si="34"/>
        <v>610</v>
      </c>
      <c r="J92" s="5">
        <f>J83+J86</f>
        <v>20924.4</v>
      </c>
      <c r="K92" s="5">
        <f t="shared" si="34"/>
        <v>35296.4</v>
      </c>
      <c r="L92" s="5">
        <f t="shared" si="34"/>
        <v>23821</v>
      </c>
      <c r="M92" s="5">
        <f t="shared" si="34"/>
        <v>6074.1</v>
      </c>
      <c r="N92" s="5">
        <f t="shared" si="34"/>
        <v>785.8199999999999</v>
      </c>
      <c r="O92" s="5">
        <f t="shared" si="34"/>
        <v>860.1600000000001</v>
      </c>
      <c r="P92" s="5">
        <f t="shared" si="34"/>
        <v>5288.280000000001</v>
      </c>
      <c r="Q92" s="5">
        <f t="shared" si="34"/>
        <v>32.6</v>
      </c>
      <c r="R92" s="15">
        <f t="shared" si="34"/>
        <v>7386.1</v>
      </c>
      <c r="S92" s="15">
        <f t="shared" si="34"/>
        <v>6475.8</v>
      </c>
      <c r="T92" s="15">
        <f t="shared" si="34"/>
        <v>3268.9</v>
      </c>
      <c r="U92" s="15">
        <f t="shared" si="34"/>
        <v>2135.1</v>
      </c>
      <c r="V92" s="15">
        <f t="shared" si="34"/>
        <v>1071.8</v>
      </c>
      <c r="W92" s="15">
        <f t="shared" si="34"/>
        <v>910.3</v>
      </c>
      <c r="X92" s="15">
        <f t="shared" si="34"/>
        <v>15408.6</v>
      </c>
      <c r="Y92" s="15">
        <f t="shared" si="34"/>
        <v>353</v>
      </c>
      <c r="Z92" s="15">
        <f t="shared" si="34"/>
        <v>5679.5</v>
      </c>
      <c r="AA92" s="15">
        <f t="shared" si="34"/>
        <v>5686.1</v>
      </c>
      <c r="AB92" s="15">
        <f t="shared" si="34"/>
        <v>1818</v>
      </c>
      <c r="AC92" s="15">
        <f t="shared" si="34"/>
        <v>5</v>
      </c>
      <c r="AD92" s="15">
        <f t="shared" si="34"/>
        <v>308</v>
      </c>
      <c r="AE92" s="15">
        <f t="shared" si="34"/>
        <v>297</v>
      </c>
      <c r="AF92" s="15">
        <f t="shared" si="34"/>
        <v>0</v>
      </c>
      <c r="AG92" s="15">
        <f t="shared" si="34"/>
        <v>0</v>
      </c>
      <c r="AH92" s="15">
        <f t="shared" si="34"/>
        <v>610</v>
      </c>
      <c r="AI92" s="15">
        <f>AI83+AI86</f>
        <v>1837</v>
      </c>
      <c r="AJ92" s="20"/>
    </row>
    <row r="93" spans="1:36" ht="14.25">
      <c r="A93" s="5" t="s">
        <v>128</v>
      </c>
      <c r="B93" s="5"/>
      <c r="C93" s="5"/>
      <c r="D93" s="135">
        <v>1</v>
      </c>
      <c r="E93" s="141"/>
      <c r="F93" s="141"/>
      <c r="G93" s="136"/>
      <c r="H93" s="5">
        <f aca="true" t="shared" si="35" ref="H93:AI93">H88</f>
        <v>3</v>
      </c>
      <c r="I93" s="5">
        <f t="shared" si="35"/>
        <v>116</v>
      </c>
      <c r="J93" s="5">
        <f t="shared" si="35"/>
        <v>4351.4</v>
      </c>
      <c r="K93" s="5">
        <f t="shared" si="35"/>
        <v>8024.8</v>
      </c>
      <c r="L93" s="5">
        <f t="shared" si="35"/>
        <v>0</v>
      </c>
      <c r="M93" s="5">
        <f t="shared" si="35"/>
        <v>748.1</v>
      </c>
      <c r="N93" s="5">
        <f t="shared" si="35"/>
        <v>0</v>
      </c>
      <c r="O93" s="5">
        <f t="shared" si="35"/>
        <v>0</v>
      </c>
      <c r="P93" s="5">
        <f t="shared" si="35"/>
        <v>748.1</v>
      </c>
      <c r="Q93" s="5">
        <f t="shared" si="35"/>
        <v>5.1</v>
      </c>
      <c r="R93" s="15">
        <f t="shared" si="35"/>
        <v>1596.36</v>
      </c>
      <c r="S93" s="15">
        <f t="shared" si="35"/>
        <v>1490.56</v>
      </c>
      <c r="T93" s="15">
        <f t="shared" si="35"/>
        <v>543.2</v>
      </c>
      <c r="U93" s="15">
        <f t="shared" si="35"/>
        <v>752.3</v>
      </c>
      <c r="V93" s="15">
        <f t="shared" si="35"/>
        <v>195.06</v>
      </c>
      <c r="W93" s="15">
        <f t="shared" si="35"/>
        <v>105.8</v>
      </c>
      <c r="X93" s="15">
        <f t="shared" si="35"/>
        <v>1630</v>
      </c>
      <c r="Y93" s="15">
        <f t="shared" si="35"/>
        <v>7</v>
      </c>
      <c r="Z93" s="15">
        <f t="shared" si="35"/>
        <v>1042.9</v>
      </c>
      <c r="AA93" s="15">
        <f t="shared" si="35"/>
        <v>1200.4</v>
      </c>
      <c r="AB93" s="15">
        <f t="shared" si="35"/>
        <v>173</v>
      </c>
      <c r="AC93" s="15">
        <f t="shared" si="35"/>
        <v>31</v>
      </c>
      <c r="AD93" s="15">
        <f t="shared" si="35"/>
        <v>38</v>
      </c>
      <c r="AE93" s="15">
        <f t="shared" si="35"/>
        <v>47</v>
      </c>
      <c r="AF93" s="15">
        <f t="shared" si="35"/>
        <v>0</v>
      </c>
      <c r="AG93" s="15">
        <f t="shared" si="35"/>
        <v>0</v>
      </c>
      <c r="AH93" s="15">
        <f t="shared" si="35"/>
        <v>116</v>
      </c>
      <c r="AI93" s="15">
        <f t="shared" si="35"/>
        <v>158</v>
      </c>
      <c r="AJ93" s="20"/>
    </row>
    <row r="94" spans="1:36" ht="14.25">
      <c r="A94" s="5" t="s">
        <v>148</v>
      </c>
      <c r="B94" s="5"/>
      <c r="C94" s="5"/>
      <c r="D94" s="135">
        <v>1</v>
      </c>
      <c r="E94" s="141"/>
      <c r="F94" s="141"/>
      <c r="G94" s="136"/>
      <c r="H94" s="5">
        <f aca="true" t="shared" si="36" ref="H94:AA94">H89</f>
        <v>1</v>
      </c>
      <c r="I94" s="5">
        <f t="shared" si="36"/>
        <v>135</v>
      </c>
      <c r="J94" s="5">
        <f t="shared" si="36"/>
        <v>3806.3</v>
      </c>
      <c r="K94" s="5">
        <f t="shared" si="36"/>
        <v>7495.9</v>
      </c>
      <c r="L94" s="5">
        <f t="shared" si="36"/>
        <v>0</v>
      </c>
      <c r="M94" s="5">
        <f t="shared" si="36"/>
        <v>1628.5</v>
      </c>
      <c r="N94" s="5">
        <f t="shared" si="36"/>
        <v>0</v>
      </c>
      <c r="O94" s="5">
        <f t="shared" si="36"/>
        <v>0</v>
      </c>
      <c r="P94" s="5">
        <f t="shared" si="36"/>
        <v>1628.5</v>
      </c>
      <c r="Q94" s="5">
        <f t="shared" si="36"/>
        <v>7.6</v>
      </c>
      <c r="R94" s="15">
        <f t="shared" si="36"/>
        <v>2398.5</v>
      </c>
      <c r="S94" s="15">
        <f t="shared" si="36"/>
        <v>1734.6</v>
      </c>
      <c r="T94" s="15">
        <f t="shared" si="36"/>
        <v>1016.5</v>
      </c>
      <c r="U94" s="15">
        <f t="shared" si="36"/>
        <v>492.6</v>
      </c>
      <c r="V94" s="15">
        <f t="shared" si="36"/>
        <v>225.5</v>
      </c>
      <c r="W94" s="15">
        <f t="shared" si="36"/>
        <v>663.9</v>
      </c>
      <c r="X94" s="15">
        <f t="shared" si="36"/>
        <v>2951.5</v>
      </c>
      <c r="Y94" s="15">
        <f t="shared" si="36"/>
        <v>0</v>
      </c>
      <c r="Z94" s="15">
        <f t="shared" si="36"/>
        <v>728.9</v>
      </c>
      <c r="AA94" s="15">
        <f t="shared" si="36"/>
        <v>546.6</v>
      </c>
      <c r="AB94" s="15">
        <f>AB89</f>
        <v>83</v>
      </c>
      <c r="AC94" s="15">
        <f aca="true" t="shared" si="37" ref="AC94:AI94">AC89</f>
        <v>68</v>
      </c>
      <c r="AD94" s="15">
        <f t="shared" si="37"/>
        <v>67</v>
      </c>
      <c r="AE94" s="15">
        <f t="shared" si="37"/>
        <v>0</v>
      </c>
      <c r="AF94" s="15">
        <f t="shared" si="37"/>
        <v>0</v>
      </c>
      <c r="AG94" s="15">
        <f t="shared" si="37"/>
        <v>0</v>
      </c>
      <c r="AH94" s="15">
        <f t="shared" si="37"/>
        <v>135</v>
      </c>
      <c r="AI94" s="15">
        <f t="shared" si="37"/>
        <v>0</v>
      </c>
      <c r="AJ94" s="20"/>
    </row>
    <row r="95" spans="1:36" ht="68.25" customHeight="1" hidden="1">
      <c r="A95" s="142" t="s">
        <v>135</v>
      </c>
      <c r="B95" s="143"/>
      <c r="C95" s="143"/>
      <c r="D95" s="144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76">
        <f aca="true" t="shared" si="38" ref="R95:AJ95">R90+R71+R47+R17</f>
        <v>208852.86000000002</v>
      </c>
      <c r="S95" s="76">
        <f t="shared" si="38"/>
        <v>185452.16</v>
      </c>
      <c r="T95" s="76">
        <f t="shared" si="38"/>
        <v>97001.2</v>
      </c>
      <c r="U95" s="76">
        <f t="shared" si="38"/>
        <v>62783.100000000006</v>
      </c>
      <c r="V95" s="76">
        <f t="shared" si="38"/>
        <v>25667.86</v>
      </c>
      <c r="W95" s="76">
        <f t="shared" si="38"/>
        <v>23400.7</v>
      </c>
      <c r="X95" s="76">
        <f t="shared" si="38"/>
        <v>444856.5</v>
      </c>
      <c r="Y95" s="76">
        <f t="shared" si="38"/>
        <v>8034</v>
      </c>
      <c r="Z95" s="76">
        <f t="shared" si="38"/>
        <v>158034.26</v>
      </c>
      <c r="AA95" s="76">
        <f t="shared" si="38"/>
        <v>155621.96000000002</v>
      </c>
      <c r="AB95" s="76">
        <f t="shared" si="38"/>
        <v>40593</v>
      </c>
      <c r="AC95" s="76">
        <f t="shared" si="38"/>
        <v>1853</v>
      </c>
      <c r="AD95" s="76">
        <f t="shared" si="38"/>
        <v>6903</v>
      </c>
      <c r="AE95" s="76">
        <f t="shared" si="38"/>
        <v>4912</v>
      </c>
      <c r="AF95" s="76">
        <f t="shared" si="38"/>
        <v>539</v>
      </c>
      <c r="AG95" s="76">
        <f t="shared" si="38"/>
        <v>62</v>
      </c>
      <c r="AH95" s="76">
        <f t="shared" si="38"/>
        <v>14229</v>
      </c>
      <c r="AI95" s="76">
        <f t="shared" si="38"/>
        <v>52187</v>
      </c>
      <c r="AJ95" s="77">
        <f t="shared" si="38"/>
        <v>14720</v>
      </c>
    </row>
    <row r="96" ht="15">
      <c r="C96" s="29" t="s">
        <v>56</v>
      </c>
    </row>
    <row r="97" ht="15">
      <c r="C97" s="29" t="s">
        <v>80</v>
      </c>
    </row>
    <row r="98" spans="3:9" ht="14.25">
      <c r="C98" s="147"/>
      <c r="D98" s="147"/>
      <c r="E98" s="147"/>
      <c r="F98" s="147"/>
      <c r="G98" s="147"/>
      <c r="H98" s="147"/>
      <c r="I98" s="147"/>
    </row>
    <row r="99" spans="1:35" ht="120" customHeight="1" hidden="1">
      <c r="A99" s="74" t="s">
        <v>0</v>
      </c>
      <c r="B99" s="74"/>
      <c r="C99" s="59" t="s">
        <v>1</v>
      </c>
      <c r="D99" s="75" t="s">
        <v>74</v>
      </c>
      <c r="E99" s="75" t="s">
        <v>72</v>
      </c>
      <c r="F99" s="59" t="s">
        <v>73</v>
      </c>
      <c r="G99" s="75" t="s">
        <v>57</v>
      </c>
      <c r="H99" s="75" t="s">
        <v>58</v>
      </c>
      <c r="I99" s="75" t="s">
        <v>59</v>
      </c>
      <c r="J99" s="75" t="s">
        <v>60</v>
      </c>
      <c r="K99" s="75" t="s">
        <v>2</v>
      </c>
      <c r="L99" s="59" t="s">
        <v>113</v>
      </c>
      <c r="M99" s="75" t="s">
        <v>117</v>
      </c>
      <c r="N99" s="59" t="s">
        <v>61</v>
      </c>
      <c r="O99" s="75" t="s">
        <v>158</v>
      </c>
      <c r="P99" s="75" t="s">
        <v>118</v>
      </c>
      <c r="Q99" s="75" t="s">
        <v>62</v>
      </c>
      <c r="R99" s="75" t="s">
        <v>63</v>
      </c>
      <c r="S99" s="75" t="s">
        <v>84</v>
      </c>
      <c r="T99" s="75" t="s">
        <v>81</v>
      </c>
      <c r="U99" s="75" t="s">
        <v>82</v>
      </c>
      <c r="V99" s="75" t="s">
        <v>83</v>
      </c>
      <c r="W99" s="75" t="s">
        <v>116</v>
      </c>
      <c r="X99" s="75" t="s">
        <v>64</v>
      </c>
      <c r="Y99" s="75" t="s">
        <v>65</v>
      </c>
      <c r="Z99" s="75" t="s">
        <v>114</v>
      </c>
      <c r="AA99" s="78" t="s">
        <v>115</v>
      </c>
      <c r="AB99" s="75" t="s">
        <v>66</v>
      </c>
      <c r="AC99" s="59" t="s">
        <v>67</v>
      </c>
      <c r="AD99" s="59" t="s">
        <v>68</v>
      </c>
      <c r="AE99" s="59" t="s">
        <v>69</v>
      </c>
      <c r="AF99" s="59" t="s">
        <v>70</v>
      </c>
      <c r="AG99" s="59" t="s">
        <v>71</v>
      </c>
      <c r="AH99" s="59" t="s">
        <v>77</v>
      </c>
      <c r="AI99" s="75" t="s">
        <v>66</v>
      </c>
    </row>
    <row r="100" spans="1:36" ht="15">
      <c r="A100" s="148" t="s">
        <v>79</v>
      </c>
      <c r="B100" s="148"/>
      <c r="C100" s="148"/>
      <c r="D100" s="148"/>
      <c r="E100" s="5">
        <f>E19+E49+D73+D92</f>
        <v>17</v>
      </c>
      <c r="F100" s="5"/>
      <c r="G100" s="5"/>
      <c r="H100" s="5">
        <f aca="true" t="shared" si="39" ref="H100:AI100">H19+H49+H73+H92</f>
        <v>138</v>
      </c>
      <c r="I100" s="5">
        <f t="shared" si="39"/>
        <v>4865</v>
      </c>
      <c r="J100" s="5">
        <f t="shared" si="39"/>
        <v>168476.09999999998</v>
      </c>
      <c r="K100" s="6">
        <f t="shared" si="39"/>
        <v>282544.4</v>
      </c>
      <c r="L100" s="6">
        <f t="shared" si="39"/>
        <v>314498</v>
      </c>
      <c r="M100" s="6">
        <f t="shared" si="39"/>
        <v>45885.7</v>
      </c>
      <c r="N100" s="6">
        <f t="shared" si="39"/>
        <v>8058.32</v>
      </c>
      <c r="O100" s="6">
        <f t="shared" si="39"/>
        <v>4998.531</v>
      </c>
      <c r="P100" s="6">
        <f t="shared" si="39"/>
        <v>37827.38</v>
      </c>
      <c r="Q100" s="6">
        <f t="shared" si="39"/>
        <v>404.7</v>
      </c>
      <c r="R100" s="6">
        <f t="shared" si="39"/>
        <v>58678.399999999994</v>
      </c>
      <c r="S100" s="6">
        <f t="shared" si="39"/>
        <v>52729.700000000004</v>
      </c>
      <c r="T100" s="6">
        <f t="shared" si="39"/>
        <v>26351.699999999997</v>
      </c>
      <c r="U100" s="6">
        <f t="shared" si="39"/>
        <v>18283.699999999997</v>
      </c>
      <c r="V100" s="6">
        <f t="shared" si="39"/>
        <v>8094.3</v>
      </c>
      <c r="W100" s="6">
        <f t="shared" si="39"/>
        <v>5948.7</v>
      </c>
      <c r="X100" s="6">
        <f t="shared" si="39"/>
        <v>135067.8</v>
      </c>
      <c r="Y100" s="6">
        <f t="shared" si="39"/>
        <v>3111</v>
      </c>
      <c r="Z100" s="6">
        <f t="shared" si="39"/>
        <v>45179.06</v>
      </c>
      <c r="AA100" s="6">
        <f t="shared" si="39"/>
        <v>44886.96</v>
      </c>
      <c r="AB100" s="6">
        <f t="shared" si="39"/>
        <v>14135</v>
      </c>
      <c r="AC100" s="6">
        <f t="shared" si="39"/>
        <v>224</v>
      </c>
      <c r="AD100" s="6">
        <f t="shared" si="39"/>
        <v>2263</v>
      </c>
      <c r="AE100" s="6">
        <f t="shared" si="39"/>
        <v>2193</v>
      </c>
      <c r="AF100" s="6">
        <f t="shared" si="39"/>
        <v>123</v>
      </c>
      <c r="AG100" s="6">
        <f t="shared" si="39"/>
        <v>62</v>
      </c>
      <c r="AH100" s="6">
        <f t="shared" si="39"/>
        <v>4865</v>
      </c>
      <c r="AI100" s="6">
        <f t="shared" si="39"/>
        <v>14532</v>
      </c>
      <c r="AJ100" s="24">
        <f>AB100-AI100</f>
        <v>-397</v>
      </c>
    </row>
    <row r="101" spans="1:36" ht="15">
      <c r="A101" s="148" t="s">
        <v>78</v>
      </c>
      <c r="B101" s="148"/>
      <c r="C101" s="148"/>
      <c r="D101" s="148"/>
      <c r="E101" s="5">
        <f>E18+E48+D72+D91</f>
        <v>30</v>
      </c>
      <c r="F101" s="5"/>
      <c r="G101" s="5"/>
      <c r="H101" s="6">
        <f aca="true" t="shared" si="40" ref="H101:AI101">H18+H48+H72+H91</f>
        <v>606</v>
      </c>
      <c r="I101" s="6">
        <f t="shared" si="40"/>
        <v>9120</v>
      </c>
      <c r="J101" s="6">
        <f t="shared" si="40"/>
        <v>270828.6</v>
      </c>
      <c r="K101" s="6">
        <f t="shared" si="40"/>
        <v>424741.49999999994</v>
      </c>
      <c r="L101" s="6">
        <f t="shared" si="40"/>
        <v>179752.40000000002</v>
      </c>
      <c r="M101" s="6">
        <f t="shared" si="40"/>
        <v>54179.2</v>
      </c>
      <c r="N101" s="6">
        <f t="shared" si="40"/>
        <v>4741.66</v>
      </c>
      <c r="O101" s="6">
        <f t="shared" si="40"/>
        <v>4799.191000000001</v>
      </c>
      <c r="P101" s="6">
        <f t="shared" si="40"/>
        <v>49437.53999999999</v>
      </c>
      <c r="Q101" s="6">
        <f t="shared" si="40"/>
        <v>910.5999999999999</v>
      </c>
      <c r="R101" s="6">
        <f t="shared" si="40"/>
        <v>142070.6</v>
      </c>
      <c r="S101" s="6">
        <f t="shared" si="40"/>
        <v>125869.3</v>
      </c>
      <c r="T101" s="6">
        <f t="shared" si="40"/>
        <v>66807.8</v>
      </c>
      <c r="U101" s="6">
        <f t="shared" si="40"/>
        <v>42165.5</v>
      </c>
      <c r="V101" s="6">
        <f t="shared" si="40"/>
        <v>16896</v>
      </c>
      <c r="W101" s="6">
        <f t="shared" si="40"/>
        <v>16201.3</v>
      </c>
      <c r="X101" s="6">
        <f t="shared" si="40"/>
        <v>302148.2</v>
      </c>
      <c r="Y101" s="6">
        <f t="shared" si="40"/>
        <v>4916</v>
      </c>
      <c r="Z101" s="6">
        <f t="shared" si="40"/>
        <v>110104.29999999999</v>
      </c>
      <c r="AA101" s="6">
        <f t="shared" si="40"/>
        <v>108218.19999999998</v>
      </c>
      <c r="AB101" s="6">
        <f t="shared" si="40"/>
        <v>26017</v>
      </c>
      <c r="AC101" s="6">
        <f t="shared" si="40"/>
        <v>1412</v>
      </c>
      <c r="AD101" s="6">
        <f t="shared" si="40"/>
        <v>4495</v>
      </c>
      <c r="AE101" s="6">
        <f t="shared" si="40"/>
        <v>2672</v>
      </c>
      <c r="AF101" s="6">
        <f t="shared" si="40"/>
        <v>416</v>
      </c>
      <c r="AG101" s="6">
        <f t="shared" si="40"/>
        <v>0</v>
      </c>
      <c r="AH101" s="6">
        <f t="shared" si="40"/>
        <v>8955</v>
      </c>
      <c r="AI101" s="6">
        <f t="shared" si="40"/>
        <v>37497</v>
      </c>
      <c r="AJ101" s="24">
        <f>AB101-AI101</f>
        <v>-11480</v>
      </c>
    </row>
    <row r="102" spans="1:36" ht="15">
      <c r="A102" s="133" t="s">
        <v>107</v>
      </c>
      <c r="B102" s="134"/>
      <c r="C102" s="134"/>
      <c r="D102" s="138"/>
      <c r="E102" s="5">
        <v>2</v>
      </c>
      <c r="F102" s="5"/>
      <c r="G102" s="5"/>
      <c r="H102" s="5">
        <f aca="true" t="shared" si="41" ref="H102:AI102">H93+H74</f>
        <v>5</v>
      </c>
      <c r="I102" s="5">
        <f t="shared" si="41"/>
        <v>274</v>
      </c>
      <c r="J102" s="5">
        <f t="shared" si="41"/>
        <v>7390.5</v>
      </c>
      <c r="K102" s="5">
        <f>K93+K74</f>
        <v>14617.7</v>
      </c>
      <c r="L102" s="5">
        <f t="shared" si="41"/>
        <v>0</v>
      </c>
      <c r="M102" s="5">
        <f t="shared" si="41"/>
        <v>1149.9</v>
      </c>
      <c r="N102" s="5">
        <f t="shared" si="41"/>
        <v>0</v>
      </c>
      <c r="O102" s="5">
        <f t="shared" si="41"/>
        <v>0</v>
      </c>
      <c r="P102" s="5">
        <f t="shared" si="41"/>
        <v>1149.9</v>
      </c>
      <c r="Q102" s="5">
        <f t="shared" si="41"/>
        <v>7.8999999999999995</v>
      </c>
      <c r="R102" s="5">
        <f t="shared" si="41"/>
        <v>5705.36</v>
      </c>
      <c r="S102" s="5">
        <f t="shared" si="41"/>
        <v>5118.5599999999995</v>
      </c>
      <c r="T102" s="5">
        <f t="shared" si="41"/>
        <v>2825.2</v>
      </c>
      <c r="U102" s="5">
        <f t="shared" si="41"/>
        <v>1841.3</v>
      </c>
      <c r="V102" s="5">
        <f t="shared" si="41"/>
        <v>452.06</v>
      </c>
      <c r="W102" s="5">
        <f t="shared" si="41"/>
        <v>586.8</v>
      </c>
      <c r="X102" s="5">
        <f>X93+X74</f>
        <v>4689</v>
      </c>
      <c r="Y102" s="5">
        <f t="shared" si="41"/>
        <v>7</v>
      </c>
      <c r="Z102" s="5">
        <f t="shared" si="41"/>
        <v>2022</v>
      </c>
      <c r="AA102" s="5">
        <f t="shared" si="41"/>
        <v>1970.2</v>
      </c>
      <c r="AB102" s="5">
        <f t="shared" si="41"/>
        <v>358</v>
      </c>
      <c r="AC102" s="5">
        <f t="shared" si="41"/>
        <v>149</v>
      </c>
      <c r="AD102" s="5">
        <f t="shared" si="41"/>
        <v>78</v>
      </c>
      <c r="AE102" s="5">
        <f t="shared" si="41"/>
        <v>47</v>
      </c>
      <c r="AF102" s="5">
        <f t="shared" si="41"/>
        <v>0</v>
      </c>
      <c r="AG102" s="5">
        <f t="shared" si="41"/>
        <v>0</v>
      </c>
      <c r="AH102" s="5">
        <f t="shared" si="41"/>
        <v>274</v>
      </c>
      <c r="AI102" s="5">
        <f t="shared" si="41"/>
        <v>158</v>
      </c>
      <c r="AJ102" s="24">
        <f>AB102-AI102</f>
        <v>200</v>
      </c>
    </row>
    <row r="103" spans="1:35" ht="15">
      <c r="A103" s="133" t="s">
        <v>145</v>
      </c>
      <c r="B103" s="134"/>
      <c r="C103" s="134"/>
      <c r="D103" s="138"/>
      <c r="E103" s="5">
        <v>1</v>
      </c>
      <c r="F103" s="5"/>
      <c r="G103" s="5"/>
      <c r="H103" s="5">
        <f>H89</f>
        <v>1</v>
      </c>
      <c r="I103" s="5">
        <f>I89</f>
        <v>135</v>
      </c>
      <c r="J103" s="5">
        <f>J89</f>
        <v>3806.3</v>
      </c>
      <c r="K103" s="5">
        <f>K89</f>
        <v>7495.9</v>
      </c>
      <c r="L103" s="5">
        <f aca="true" t="shared" si="42" ref="L103:X103">L89</f>
        <v>0</v>
      </c>
      <c r="M103" s="5">
        <f t="shared" si="42"/>
        <v>1628.5</v>
      </c>
      <c r="N103" s="5">
        <f t="shared" si="42"/>
        <v>0</v>
      </c>
      <c r="O103" s="5">
        <f t="shared" si="42"/>
        <v>0</v>
      </c>
      <c r="P103" s="5">
        <f t="shared" si="42"/>
        <v>1628.5</v>
      </c>
      <c r="Q103" s="5">
        <f t="shared" si="42"/>
        <v>7.6</v>
      </c>
      <c r="R103" s="5">
        <f t="shared" si="42"/>
        <v>2398.5</v>
      </c>
      <c r="S103" s="5">
        <f t="shared" si="42"/>
        <v>1734.6</v>
      </c>
      <c r="T103" s="5">
        <f t="shared" si="42"/>
        <v>1016.5</v>
      </c>
      <c r="U103" s="5">
        <f t="shared" si="42"/>
        <v>492.6</v>
      </c>
      <c r="V103" s="5">
        <f t="shared" si="42"/>
        <v>225.5</v>
      </c>
      <c r="W103" s="5">
        <f t="shared" si="42"/>
        <v>663.9</v>
      </c>
      <c r="X103" s="5">
        <f t="shared" si="42"/>
        <v>2951.5</v>
      </c>
      <c r="Y103" s="5">
        <f>Y94</f>
        <v>0</v>
      </c>
      <c r="Z103" s="5">
        <f>Z94</f>
        <v>728.9</v>
      </c>
      <c r="AA103" s="5">
        <f>AA94</f>
        <v>546.6</v>
      </c>
      <c r="AB103" s="5">
        <f aca="true" t="shared" si="43" ref="AB103:AI103">AB89</f>
        <v>83</v>
      </c>
      <c r="AC103" s="5">
        <f t="shared" si="43"/>
        <v>68</v>
      </c>
      <c r="AD103" s="5">
        <f t="shared" si="43"/>
        <v>67</v>
      </c>
      <c r="AE103" s="5">
        <f t="shared" si="43"/>
        <v>0</v>
      </c>
      <c r="AF103" s="5">
        <f t="shared" si="43"/>
        <v>0</v>
      </c>
      <c r="AG103" s="5">
        <f t="shared" si="43"/>
        <v>0</v>
      </c>
      <c r="AH103" s="5">
        <f t="shared" si="43"/>
        <v>135</v>
      </c>
      <c r="AI103" s="5">
        <f t="shared" si="43"/>
        <v>0</v>
      </c>
    </row>
    <row r="104" spans="1:36" ht="15">
      <c r="A104" s="133" t="s">
        <v>90</v>
      </c>
      <c r="B104" s="134"/>
      <c r="C104" s="134"/>
      <c r="D104" s="138"/>
      <c r="E104" s="38">
        <f>E100+E101+E102+E103</f>
        <v>50</v>
      </c>
      <c r="F104" s="38">
        <f>F100+F101+F102</f>
        <v>0</v>
      </c>
      <c r="G104" s="38"/>
      <c r="H104" s="42">
        <f>H100+H101+H102+H103</f>
        <v>750</v>
      </c>
      <c r="I104" s="42">
        <f aca="true" t="shared" si="44" ref="I104:X104">I100+I101+I102+I103</f>
        <v>14394</v>
      </c>
      <c r="J104" s="42">
        <f t="shared" si="44"/>
        <v>450501.49999999994</v>
      </c>
      <c r="K104" s="39">
        <f>K100+K101+K102+K103</f>
        <v>729399.4999999999</v>
      </c>
      <c r="L104" s="42">
        <f t="shared" si="44"/>
        <v>494250.4</v>
      </c>
      <c r="M104" s="42">
        <f t="shared" si="44"/>
        <v>102843.29999999999</v>
      </c>
      <c r="N104" s="42">
        <f t="shared" si="44"/>
        <v>12799.98</v>
      </c>
      <c r="O104" s="42">
        <f t="shared" si="44"/>
        <v>9797.722000000002</v>
      </c>
      <c r="P104" s="42">
        <f t="shared" si="44"/>
        <v>90043.31999999998</v>
      </c>
      <c r="Q104" s="42">
        <f t="shared" si="44"/>
        <v>1330.8</v>
      </c>
      <c r="R104" s="42">
        <f t="shared" si="44"/>
        <v>208852.86</v>
      </c>
      <c r="S104" s="42">
        <f t="shared" si="44"/>
        <v>185452.16</v>
      </c>
      <c r="T104" s="42">
        <f t="shared" si="44"/>
        <v>97001.2</v>
      </c>
      <c r="U104" s="42">
        <f t="shared" si="44"/>
        <v>62783.1</v>
      </c>
      <c r="V104" s="42">
        <f t="shared" si="44"/>
        <v>25667.86</v>
      </c>
      <c r="W104" s="42">
        <f t="shared" si="44"/>
        <v>23400.7</v>
      </c>
      <c r="X104" s="42">
        <f t="shared" si="44"/>
        <v>444856.5</v>
      </c>
      <c r="Y104" s="42">
        <f aca="true" t="shared" si="45" ref="Y104:AI104">Y100+Y101+Y102+Y103</f>
        <v>8034</v>
      </c>
      <c r="Z104" s="42">
        <f t="shared" si="45"/>
        <v>158034.25999999998</v>
      </c>
      <c r="AA104" s="42">
        <f>AA100+AA101+AA102+AA103</f>
        <v>155621.96</v>
      </c>
      <c r="AB104" s="42">
        <f>AB100+AB101+AB102+AB103</f>
        <v>40593</v>
      </c>
      <c r="AC104" s="42">
        <f>AC100+AC101+AC102+AC103</f>
        <v>1853</v>
      </c>
      <c r="AD104" s="42">
        <f>AD100+AD101+AD102+AD103</f>
        <v>6903</v>
      </c>
      <c r="AE104" s="42">
        <f>AE100+AE101+AE102+AE103</f>
        <v>4912</v>
      </c>
      <c r="AF104" s="42">
        <f t="shared" si="45"/>
        <v>539</v>
      </c>
      <c r="AG104" s="42">
        <f t="shared" si="45"/>
        <v>62</v>
      </c>
      <c r="AH104" s="42">
        <f t="shared" si="45"/>
        <v>14229</v>
      </c>
      <c r="AI104" s="42">
        <f t="shared" si="45"/>
        <v>52187</v>
      </c>
      <c r="AJ104" s="24">
        <f>AB104-AI104</f>
        <v>-11594</v>
      </c>
    </row>
    <row r="105" spans="1:34" ht="15" hidden="1">
      <c r="A105" s="79"/>
      <c r="B105" s="80"/>
      <c r="C105" s="81" t="s">
        <v>85</v>
      </c>
      <c r="D105" s="82"/>
      <c r="E105" s="83"/>
      <c r="F105" s="38"/>
      <c r="G105" s="38"/>
      <c r="H105" s="38"/>
      <c r="I105" s="38"/>
      <c r="J105" s="38"/>
      <c r="K105" s="84" t="e">
        <f>K104-#REF!-#REF!</f>
        <v>#REF!</v>
      </c>
      <c r="L105" s="26"/>
      <c r="M105" s="45" t="s">
        <v>125</v>
      </c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7"/>
      <c r="AD105" s="27"/>
      <c r="AE105" s="27"/>
      <c r="AF105" s="27"/>
      <c r="AG105" s="27"/>
      <c r="AH105" s="26"/>
    </row>
    <row r="106" spans="1:35" ht="15">
      <c r="A106" s="79">
        <v>1</v>
      </c>
      <c r="B106" s="80"/>
      <c r="C106" s="133" t="s">
        <v>86</v>
      </c>
      <c r="D106" s="138"/>
      <c r="E106" s="38"/>
      <c r="F106" s="38"/>
      <c r="G106" s="38"/>
      <c r="H106" s="85"/>
      <c r="I106" s="85"/>
      <c r="J106" s="85"/>
      <c r="K106" s="85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7"/>
      <c r="AD106" s="27"/>
      <c r="AE106" s="27"/>
      <c r="AF106" s="27"/>
      <c r="AG106" s="27"/>
      <c r="AH106" s="26"/>
      <c r="AI106" s="24">
        <f>9394+32507</f>
        <v>41901</v>
      </c>
    </row>
    <row r="107" spans="1:34" ht="15">
      <c r="A107" s="79"/>
      <c r="B107" s="80"/>
      <c r="C107" s="86" t="s">
        <v>16</v>
      </c>
      <c r="D107" s="87"/>
      <c r="E107" s="38">
        <f>E108+E109</f>
        <v>13</v>
      </c>
      <c r="F107" s="38"/>
      <c r="G107" s="38"/>
      <c r="H107" s="85">
        <f>H108+H109</f>
        <v>163</v>
      </c>
      <c r="I107" s="85">
        <f>I108+I109</f>
        <v>3483</v>
      </c>
      <c r="J107" s="85">
        <f>J108+J109</f>
        <v>96251.2</v>
      </c>
      <c r="K107" s="85">
        <f>K108+K109</f>
        <v>158311.3</v>
      </c>
      <c r="L107" s="42">
        <f>SUM(L96:L106)</f>
        <v>988500.8</v>
      </c>
      <c r="M107" s="88">
        <f>K90+K71+K47+K17</f>
        <v>729399.5</v>
      </c>
      <c r="N107" s="88">
        <f>M107-K104</f>
        <v>0</v>
      </c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7"/>
      <c r="AD107" s="27"/>
      <c r="AE107" s="27"/>
      <c r="AF107" s="27"/>
      <c r="AG107" s="27"/>
      <c r="AH107" s="27"/>
    </row>
    <row r="108" spans="1:34" ht="15">
      <c r="A108" s="79"/>
      <c r="B108" s="80"/>
      <c r="C108" s="43" t="s">
        <v>17</v>
      </c>
      <c r="D108" s="44"/>
      <c r="E108" s="5">
        <v>8</v>
      </c>
      <c r="F108" s="5"/>
      <c r="G108" s="5"/>
      <c r="H108" s="89">
        <v>110</v>
      </c>
      <c r="I108" s="89">
        <v>1639</v>
      </c>
      <c r="J108" s="89">
        <f>J18</f>
        <v>48421.1</v>
      </c>
      <c r="K108" s="89">
        <f>K18</f>
        <v>77596.29999999999</v>
      </c>
      <c r="L108" s="6" t="e">
        <f>#REF!+#REF!+#REF!+L96+L101+L104+L105+L106</f>
        <v>#REF!</v>
      </c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7"/>
      <c r="AD108" s="27"/>
      <c r="AE108" s="27"/>
      <c r="AF108" s="27"/>
      <c r="AG108" s="27"/>
      <c r="AH108" s="27"/>
    </row>
    <row r="109" spans="1:34" ht="15">
      <c r="A109" s="79"/>
      <c r="B109" s="80"/>
      <c r="C109" s="46" t="s">
        <v>18</v>
      </c>
      <c r="D109" s="47"/>
      <c r="E109" s="5">
        <v>5</v>
      </c>
      <c r="F109" s="5"/>
      <c r="G109" s="5"/>
      <c r="H109" s="89">
        <v>53</v>
      </c>
      <c r="I109" s="89">
        <v>1844</v>
      </c>
      <c r="J109" s="89">
        <f>J19</f>
        <v>47830.1</v>
      </c>
      <c r="K109" s="89">
        <f>K19</f>
        <v>80714.99999999999</v>
      </c>
      <c r="L109" s="6" t="e">
        <f>#REF!+L97+L98+L99+L100</f>
        <v>#REF!</v>
      </c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7"/>
      <c r="AD109" s="27"/>
      <c r="AE109" s="27"/>
      <c r="AF109" s="27"/>
      <c r="AG109" s="27"/>
      <c r="AH109" s="27"/>
    </row>
    <row r="110" spans="1:34" ht="15">
      <c r="A110" s="79"/>
      <c r="B110" s="80"/>
      <c r="C110" s="46"/>
      <c r="D110" s="47"/>
      <c r="E110" s="48"/>
      <c r="F110" s="5"/>
      <c r="G110" s="5"/>
      <c r="H110" s="89"/>
      <c r="I110" s="89"/>
      <c r="J110" s="89"/>
      <c r="K110" s="89"/>
      <c r="L110" s="90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7"/>
      <c r="AD110" s="27"/>
      <c r="AE110" s="27"/>
      <c r="AF110" s="27"/>
      <c r="AG110" s="27"/>
      <c r="AH110" s="27"/>
    </row>
    <row r="111" spans="1:34" ht="15">
      <c r="A111" s="79">
        <v>2</v>
      </c>
      <c r="B111" s="80"/>
      <c r="C111" s="133" t="s">
        <v>89</v>
      </c>
      <c r="D111" s="134"/>
      <c r="E111" s="38"/>
      <c r="F111" s="38"/>
      <c r="G111" s="38"/>
      <c r="H111" s="85"/>
      <c r="I111" s="85"/>
      <c r="J111" s="85"/>
      <c r="K111" s="85"/>
      <c r="L111" s="90"/>
      <c r="M111" s="26"/>
      <c r="N111" s="26"/>
      <c r="O111" s="26"/>
      <c r="P111" s="26">
        <f>718360+K89+K70</f>
        <v>732448.8</v>
      </c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7"/>
      <c r="AD111" s="27"/>
      <c r="AE111" s="27"/>
      <c r="AF111" s="27"/>
      <c r="AG111" s="27"/>
      <c r="AH111" s="27"/>
    </row>
    <row r="112" spans="1:34" ht="15">
      <c r="A112" s="79"/>
      <c r="B112" s="80"/>
      <c r="C112" s="86" t="s">
        <v>16</v>
      </c>
      <c r="D112" s="87"/>
      <c r="E112" s="38">
        <f>E113+E114</f>
        <v>18</v>
      </c>
      <c r="F112" s="38"/>
      <c r="H112" s="85">
        <f>H113+H114</f>
        <v>178</v>
      </c>
      <c r="I112" s="85">
        <f>I113+I114</f>
        <v>3758</v>
      </c>
      <c r="J112" s="85">
        <f>J113+J114</f>
        <v>125001.80000000002</v>
      </c>
      <c r="K112" s="85">
        <f>K113+K114</f>
        <v>203848.5</v>
      </c>
      <c r="L112" s="90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7"/>
      <c r="AD112" s="27"/>
      <c r="AE112" s="27"/>
      <c r="AF112" s="27"/>
      <c r="AG112" s="27"/>
      <c r="AH112" s="27"/>
    </row>
    <row r="113" spans="1:34" ht="15">
      <c r="A113" s="79"/>
      <c r="B113" s="80"/>
      <c r="C113" s="43" t="s">
        <v>17</v>
      </c>
      <c r="D113" s="44"/>
      <c r="E113" s="5">
        <v>11</v>
      </c>
      <c r="F113" s="5"/>
      <c r="H113" s="89">
        <f>120</f>
        <v>120</v>
      </c>
      <c r="I113" s="89">
        <f>1718</f>
        <v>1718</v>
      </c>
      <c r="J113" s="89">
        <f>J48</f>
        <v>54427.00000000001</v>
      </c>
      <c r="K113" s="89">
        <f>K48</f>
        <v>84529.8</v>
      </c>
      <c r="L113" s="90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7"/>
      <c r="AD113" s="27"/>
      <c r="AE113" s="27"/>
      <c r="AF113" s="27"/>
      <c r="AG113" s="27"/>
      <c r="AH113" s="27"/>
    </row>
    <row r="114" spans="1:34" ht="15">
      <c r="A114" s="79"/>
      <c r="B114" s="80"/>
      <c r="C114" s="46" t="s">
        <v>18</v>
      </c>
      <c r="D114" s="47"/>
      <c r="E114" s="5">
        <v>7</v>
      </c>
      <c r="F114" s="5"/>
      <c r="H114" s="89">
        <v>58</v>
      </c>
      <c r="I114" s="89">
        <v>2040</v>
      </c>
      <c r="J114" s="89">
        <f>J49</f>
        <v>70574.8</v>
      </c>
      <c r="K114" s="89">
        <f>K49</f>
        <v>119318.70000000001</v>
      </c>
      <c r="L114" s="90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7"/>
      <c r="AD114" s="27"/>
      <c r="AE114" s="27"/>
      <c r="AF114" s="27"/>
      <c r="AG114" s="27"/>
      <c r="AH114" s="27"/>
    </row>
    <row r="115" spans="1:34" ht="15">
      <c r="A115" s="79"/>
      <c r="B115" s="80"/>
      <c r="C115" s="46"/>
      <c r="D115" s="47"/>
      <c r="E115" s="48"/>
      <c r="F115" s="5"/>
      <c r="G115" s="5"/>
      <c r="H115" s="89"/>
      <c r="I115" s="89"/>
      <c r="J115" s="89"/>
      <c r="K115" s="89"/>
      <c r="L115" s="90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7"/>
      <c r="AD115" s="27"/>
      <c r="AE115" s="27"/>
      <c r="AF115" s="27"/>
      <c r="AG115" s="27"/>
      <c r="AH115" s="27"/>
    </row>
    <row r="116" spans="1:34" ht="15">
      <c r="A116" s="79">
        <v>3</v>
      </c>
      <c r="B116" s="80"/>
      <c r="C116" s="133" t="s">
        <v>88</v>
      </c>
      <c r="D116" s="134"/>
      <c r="E116" s="38"/>
      <c r="F116" s="38"/>
      <c r="G116" s="38"/>
      <c r="H116" s="85"/>
      <c r="I116" s="85"/>
      <c r="J116" s="85"/>
      <c r="K116" s="85"/>
      <c r="L116" s="90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7"/>
      <c r="AD116" s="27"/>
      <c r="AE116" s="27"/>
      <c r="AF116" s="27"/>
      <c r="AG116" s="27"/>
      <c r="AH116" s="27"/>
    </row>
    <row r="117" spans="1:34" ht="15">
      <c r="A117" s="79"/>
      <c r="B117" s="80"/>
      <c r="C117" s="86" t="s">
        <v>16</v>
      </c>
      <c r="D117" s="87"/>
      <c r="E117" s="38">
        <f>E118+E119</f>
        <v>11</v>
      </c>
      <c r="F117" s="38"/>
      <c r="H117" s="85">
        <f>H118+H119</f>
        <v>211</v>
      </c>
      <c r="I117" s="85">
        <f>I118+I119</f>
        <v>3626</v>
      </c>
      <c r="J117" s="85">
        <f>J118+J119</f>
        <v>111424.5</v>
      </c>
      <c r="K117" s="85">
        <f>K118+K119</f>
        <v>176388.40000000002</v>
      </c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7"/>
      <c r="AD117" s="27"/>
      <c r="AE117" s="27"/>
      <c r="AF117" s="27"/>
      <c r="AG117" s="27"/>
      <c r="AH117" s="27"/>
    </row>
    <row r="118" spans="1:34" ht="15">
      <c r="A118" s="79"/>
      <c r="B118" s="80"/>
      <c r="C118" s="43" t="s">
        <v>17</v>
      </c>
      <c r="D118" s="44"/>
      <c r="E118" s="5">
        <v>7</v>
      </c>
      <c r="F118" s="5"/>
      <c r="H118" s="89">
        <v>187</v>
      </c>
      <c r="I118" s="89">
        <v>2769</v>
      </c>
      <c r="J118" s="89">
        <f>J72</f>
        <v>82277.7</v>
      </c>
      <c r="K118" s="89">
        <f>K72</f>
        <v>129174.1</v>
      </c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7"/>
      <c r="AD118" s="27"/>
      <c r="AE118" s="27"/>
      <c r="AF118" s="27"/>
      <c r="AG118" s="27"/>
      <c r="AH118" s="27"/>
    </row>
    <row r="119" spans="1:34" ht="15">
      <c r="A119" s="79"/>
      <c r="B119" s="80"/>
      <c r="C119" s="46" t="s">
        <v>18</v>
      </c>
      <c r="D119" s="47"/>
      <c r="E119" s="5">
        <v>4</v>
      </c>
      <c r="F119" s="5"/>
      <c r="H119" s="89">
        <v>24</v>
      </c>
      <c r="I119" s="89">
        <v>857</v>
      </c>
      <c r="J119" s="89">
        <f>J73</f>
        <v>29146.8</v>
      </c>
      <c r="K119" s="89">
        <f>K73</f>
        <v>47214.3</v>
      </c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7"/>
      <c r="AD119" s="27"/>
      <c r="AE119" s="27"/>
      <c r="AF119" s="27"/>
      <c r="AG119" s="27"/>
      <c r="AH119" s="27"/>
    </row>
    <row r="120" spans="1:30" ht="15">
      <c r="A120" s="5"/>
      <c r="C120" s="5"/>
      <c r="D120" s="5"/>
      <c r="E120" s="5"/>
      <c r="F120" s="5"/>
      <c r="G120" s="5"/>
      <c r="H120" s="89"/>
      <c r="I120" s="89"/>
      <c r="J120" s="89"/>
      <c r="K120" s="89"/>
      <c r="AB120" s="26"/>
      <c r="AC120" s="27"/>
      <c r="AD120" s="27"/>
    </row>
    <row r="121" spans="1:30" ht="15">
      <c r="A121" s="79">
        <v>4</v>
      </c>
      <c r="C121" s="133" t="s">
        <v>87</v>
      </c>
      <c r="D121" s="134"/>
      <c r="E121" s="38"/>
      <c r="F121" s="38"/>
      <c r="G121" s="38"/>
      <c r="H121" s="85"/>
      <c r="I121" s="85"/>
      <c r="J121" s="85"/>
      <c r="K121" s="85"/>
      <c r="AB121" s="26"/>
      <c r="AC121" s="27"/>
      <c r="AD121" s="27"/>
    </row>
    <row r="122" spans="1:30" ht="15">
      <c r="A122" s="5"/>
      <c r="C122" s="86" t="s">
        <v>16</v>
      </c>
      <c r="D122" s="87"/>
      <c r="E122" s="38">
        <f>E123+E124+E125</f>
        <v>7</v>
      </c>
      <c r="F122" s="38">
        <f aca="true" t="shared" si="46" ref="F122:K122">F123+F124+F125</f>
        <v>0</v>
      </c>
      <c r="G122" s="38"/>
      <c r="H122" s="85">
        <f t="shared" si="46"/>
        <v>208</v>
      </c>
      <c r="I122" s="85">
        <f t="shared" si="46"/>
        <v>3529</v>
      </c>
      <c r="J122" s="85">
        <f>J123+J124+J125</f>
        <v>106627.20000000001</v>
      </c>
      <c r="K122" s="85">
        <f t="shared" si="46"/>
        <v>168737.69999999998</v>
      </c>
      <c r="AB122" s="26"/>
      <c r="AC122" s="27"/>
      <c r="AD122" s="27"/>
    </row>
    <row r="123" spans="1:30" ht="15">
      <c r="A123" s="5"/>
      <c r="C123" s="43" t="s">
        <v>17</v>
      </c>
      <c r="D123" s="44"/>
      <c r="E123" s="5">
        <v>4</v>
      </c>
      <c r="F123" s="5"/>
      <c r="H123" s="89">
        <v>188</v>
      </c>
      <c r="I123" s="89">
        <v>2803</v>
      </c>
      <c r="J123" s="89">
        <f>J91</f>
        <v>85702.8</v>
      </c>
      <c r="K123" s="89">
        <f>K91</f>
        <v>133441.3</v>
      </c>
      <c r="AB123" s="26"/>
      <c r="AC123" s="27"/>
      <c r="AD123" s="27"/>
    </row>
    <row r="124" spans="1:30" ht="15">
      <c r="A124" s="5"/>
      <c r="C124" s="46" t="s">
        <v>18</v>
      </c>
      <c r="D124" s="47"/>
      <c r="E124" s="5">
        <v>2</v>
      </c>
      <c r="F124" s="5"/>
      <c r="H124" s="89">
        <v>17</v>
      </c>
      <c r="I124" s="89">
        <v>610</v>
      </c>
      <c r="J124" s="89">
        <f>J92</f>
        <v>20924.4</v>
      </c>
      <c r="K124" s="89">
        <f>K92</f>
        <v>35296.4</v>
      </c>
      <c r="AB124" s="26"/>
      <c r="AC124" s="27"/>
      <c r="AD124" s="27"/>
    </row>
    <row r="125" spans="1:30" ht="15">
      <c r="A125" s="5"/>
      <c r="C125" s="135" t="s">
        <v>108</v>
      </c>
      <c r="D125" s="136"/>
      <c r="E125" s="91">
        <v>1</v>
      </c>
      <c r="F125" s="5"/>
      <c r="G125" s="5"/>
      <c r="H125" s="89">
        <v>3</v>
      </c>
      <c r="I125" s="89">
        <v>116</v>
      </c>
      <c r="J125" s="89"/>
      <c r="K125" s="89"/>
      <c r="AB125" s="26"/>
      <c r="AC125" s="27"/>
      <c r="AD125" s="27"/>
    </row>
    <row r="126" spans="3:30" ht="15">
      <c r="C126" s="135" t="s">
        <v>146</v>
      </c>
      <c r="D126" s="136"/>
      <c r="E126" s="91">
        <v>1</v>
      </c>
      <c r="F126" s="5"/>
      <c r="G126" s="5"/>
      <c r="H126" s="89">
        <v>3</v>
      </c>
      <c r="I126" s="89">
        <v>134</v>
      </c>
      <c r="J126" s="89">
        <f>J103</f>
        <v>3806.3</v>
      </c>
      <c r="K126" s="89">
        <f>K103</f>
        <v>7495.9</v>
      </c>
      <c r="AB126" s="26"/>
      <c r="AC126" s="27"/>
      <c r="AD126" s="27"/>
    </row>
    <row r="127" spans="3:30" ht="15">
      <c r="C127" s="92"/>
      <c r="D127" s="92"/>
      <c r="E127" s="92"/>
      <c r="F127" s="45"/>
      <c r="G127" s="45"/>
      <c r="H127" s="45"/>
      <c r="I127" s="45"/>
      <c r="J127" s="45"/>
      <c r="K127" s="90"/>
      <c r="AB127" s="26"/>
      <c r="AC127" s="27"/>
      <c r="AD127" s="27"/>
    </row>
    <row r="128" spans="4:30" ht="15">
      <c r="D128" s="24" t="s">
        <v>111</v>
      </c>
      <c r="AB128" s="26"/>
      <c r="AC128" s="27"/>
      <c r="AD128" s="27"/>
    </row>
    <row r="129" spans="4:30" ht="15">
      <c r="D129" s="24" t="s">
        <v>112</v>
      </c>
      <c r="AB129" s="26"/>
      <c r="AC129" s="27"/>
      <c r="AD129" s="27"/>
    </row>
    <row r="130" spans="4:30" ht="15">
      <c r="D130" s="24" t="s">
        <v>109</v>
      </c>
      <c r="AB130" s="26"/>
      <c r="AC130" s="27"/>
      <c r="AD130" s="27"/>
    </row>
    <row r="131" spans="4:30" ht="15">
      <c r="D131" s="93" t="s">
        <v>150</v>
      </c>
      <c r="E131" s="93"/>
      <c r="F131" s="93"/>
      <c r="G131" s="93"/>
      <c r="H131" s="93"/>
      <c r="I131" s="93"/>
      <c r="R131" s="45"/>
      <c r="S131" s="45"/>
      <c r="T131" s="45"/>
      <c r="U131" s="45"/>
      <c r="AB131" s="26"/>
      <c r="AC131" s="27"/>
      <c r="AD131" s="27"/>
    </row>
    <row r="132" spans="17:30" ht="15">
      <c r="Q132" s="45"/>
      <c r="R132" s="45"/>
      <c r="S132" s="45"/>
      <c r="T132" s="45"/>
      <c r="U132" s="45"/>
      <c r="AB132" s="26"/>
      <c r="AC132" s="27"/>
      <c r="AD132" s="27"/>
    </row>
    <row r="133" spans="1:30" ht="12.75" customHeight="1">
      <c r="A133" s="132" t="s">
        <v>91</v>
      </c>
      <c r="B133" s="139"/>
      <c r="C133" s="131" t="s">
        <v>1</v>
      </c>
      <c r="D133" s="131" t="s">
        <v>92</v>
      </c>
      <c r="E133" s="131" t="s">
        <v>93</v>
      </c>
      <c r="F133" s="131" t="s">
        <v>94</v>
      </c>
      <c r="G133" s="131" t="s">
        <v>95</v>
      </c>
      <c r="H133" s="131" t="s">
        <v>96</v>
      </c>
      <c r="I133" s="131" t="s">
        <v>97</v>
      </c>
      <c r="J133" s="131" t="s">
        <v>98</v>
      </c>
      <c r="K133" s="129" t="s">
        <v>99</v>
      </c>
      <c r="L133" s="131" t="s">
        <v>100</v>
      </c>
      <c r="M133" s="131" t="s">
        <v>101</v>
      </c>
      <c r="N133" s="131" t="s">
        <v>102</v>
      </c>
      <c r="O133" s="131" t="s">
        <v>103</v>
      </c>
      <c r="P133" s="131" t="s">
        <v>104</v>
      </c>
      <c r="Q133" s="94"/>
      <c r="R133" s="94"/>
      <c r="S133" s="127"/>
      <c r="T133" s="127"/>
      <c r="U133" s="45"/>
      <c r="AB133" s="27"/>
      <c r="AC133" s="27"/>
      <c r="AD133" s="27"/>
    </row>
    <row r="134" spans="1:30" ht="60.75" customHeight="1">
      <c r="A134" s="132"/>
      <c r="B134" s="140"/>
      <c r="C134" s="132"/>
      <c r="D134" s="132"/>
      <c r="E134" s="132"/>
      <c r="F134" s="132"/>
      <c r="G134" s="132"/>
      <c r="H134" s="132"/>
      <c r="I134" s="132"/>
      <c r="J134" s="132"/>
      <c r="K134" s="130"/>
      <c r="L134" s="132"/>
      <c r="M134" s="132"/>
      <c r="N134" s="132"/>
      <c r="O134" s="132"/>
      <c r="P134" s="132"/>
      <c r="Q134" s="96"/>
      <c r="R134" s="96"/>
      <c r="S134" s="137"/>
      <c r="T134" s="128"/>
      <c r="U134" s="45"/>
      <c r="AB134" s="27"/>
      <c r="AC134" s="27"/>
      <c r="AD134" s="27"/>
    </row>
    <row r="135" spans="1:30" ht="15">
      <c r="A135" s="97">
        <v>1</v>
      </c>
      <c r="B135" s="95"/>
      <c r="C135" s="98">
        <v>2</v>
      </c>
      <c r="D135" s="98">
        <v>3</v>
      </c>
      <c r="E135" s="98">
        <v>4</v>
      </c>
      <c r="F135" s="98">
        <v>6</v>
      </c>
      <c r="G135" s="98">
        <v>5</v>
      </c>
      <c r="H135" s="98">
        <v>6</v>
      </c>
      <c r="I135" s="98">
        <v>7</v>
      </c>
      <c r="J135" s="98">
        <v>10</v>
      </c>
      <c r="K135" s="98">
        <v>11</v>
      </c>
      <c r="L135" s="98">
        <v>12</v>
      </c>
      <c r="M135" s="98">
        <v>13</v>
      </c>
      <c r="N135" s="98">
        <v>14</v>
      </c>
      <c r="O135" s="98">
        <v>15</v>
      </c>
      <c r="P135" s="98">
        <v>16</v>
      </c>
      <c r="Q135" s="99"/>
      <c r="R135" s="99"/>
      <c r="S135" s="99"/>
      <c r="T135" s="100"/>
      <c r="U135" s="45"/>
      <c r="AB135" s="27"/>
      <c r="AC135" s="27"/>
      <c r="AD135" s="27"/>
    </row>
    <row r="136" spans="1:30" ht="29.25">
      <c r="A136" s="28">
        <v>1</v>
      </c>
      <c r="B136" s="101"/>
      <c r="C136" s="101" t="s">
        <v>106</v>
      </c>
      <c r="D136" s="28">
        <v>2.25</v>
      </c>
      <c r="E136" s="28">
        <v>2009</v>
      </c>
      <c r="F136" s="28">
        <v>4351.4</v>
      </c>
      <c r="G136" s="28">
        <v>116</v>
      </c>
      <c r="H136" s="28">
        <v>10</v>
      </c>
      <c r="I136" s="28" t="s">
        <v>105</v>
      </c>
      <c r="J136" s="28">
        <v>3</v>
      </c>
      <c r="K136" s="28">
        <v>3</v>
      </c>
      <c r="L136" s="28"/>
      <c r="M136" s="102">
        <v>8024.8</v>
      </c>
      <c r="N136" s="28">
        <v>40788</v>
      </c>
      <c r="O136" s="28">
        <v>1200.4</v>
      </c>
      <c r="P136" s="28">
        <v>748.1</v>
      </c>
      <c r="Q136" s="103"/>
      <c r="R136" s="103"/>
      <c r="S136" s="103"/>
      <c r="T136" s="103"/>
      <c r="U136" s="45"/>
      <c r="AB136" s="27"/>
      <c r="AC136" s="27"/>
      <c r="AD136" s="27"/>
    </row>
    <row r="137" spans="17:30" ht="15">
      <c r="Q137" s="45"/>
      <c r="R137" s="45"/>
      <c r="S137" s="45"/>
      <c r="T137" s="45"/>
      <c r="U137" s="45"/>
      <c r="AB137" s="27"/>
      <c r="AC137" s="27"/>
      <c r="AD137" s="27"/>
    </row>
    <row r="138" spans="18:30" ht="15">
      <c r="R138" s="45"/>
      <c r="S138" s="45"/>
      <c r="T138" s="45"/>
      <c r="U138" s="45"/>
      <c r="AB138" s="27"/>
      <c r="AC138" s="27"/>
      <c r="AD138" s="27"/>
    </row>
    <row r="139" spans="18:30" ht="15">
      <c r="R139" s="45"/>
      <c r="S139" s="45"/>
      <c r="T139" s="45"/>
      <c r="U139" s="45"/>
      <c r="AB139" s="27"/>
      <c r="AC139" s="27"/>
      <c r="AD139" s="27"/>
    </row>
    <row r="140" spans="1:36" ht="14.25">
      <c r="A140" s="5">
        <v>9</v>
      </c>
      <c r="B140" s="5"/>
      <c r="C140" s="5" t="s">
        <v>11</v>
      </c>
      <c r="D140" s="5">
        <v>1981</v>
      </c>
      <c r="E140" s="4">
        <v>551</v>
      </c>
      <c r="F140" s="5"/>
      <c r="G140" s="5">
        <v>9</v>
      </c>
      <c r="H140" s="5">
        <v>14</v>
      </c>
      <c r="I140" s="5">
        <v>486</v>
      </c>
      <c r="J140" s="5">
        <v>17390</v>
      </c>
      <c r="K140" s="8">
        <v>29252.2</v>
      </c>
      <c r="L140" s="5">
        <v>7174.3</v>
      </c>
      <c r="M140" s="8">
        <v>4423.5</v>
      </c>
      <c r="N140" s="5">
        <v>463.74</v>
      </c>
      <c r="O140" s="5">
        <v>463.74</v>
      </c>
      <c r="P140" s="8">
        <f>M140-O140</f>
        <v>3959.76</v>
      </c>
      <c r="Q140" s="5">
        <v>36.6</v>
      </c>
      <c r="R140" s="6">
        <f>2948+2688+658</f>
        <v>6294</v>
      </c>
      <c r="S140" s="5">
        <f>T140+U140+V140</f>
        <v>6294</v>
      </c>
      <c r="T140" s="6">
        <v>2948</v>
      </c>
      <c r="U140" s="6">
        <v>2688</v>
      </c>
      <c r="V140" s="6">
        <v>658</v>
      </c>
      <c r="W140" s="9">
        <f>108+791</f>
        <v>899</v>
      </c>
      <c r="X140" s="6">
        <v>16761</v>
      </c>
      <c r="Y140" s="5">
        <v>247</v>
      </c>
      <c r="Z140" s="8">
        <v>4664.6</v>
      </c>
      <c r="AA140" s="5">
        <v>4649.6</v>
      </c>
      <c r="AB140" s="5">
        <v>1418</v>
      </c>
      <c r="AC140" s="5">
        <v>39</v>
      </c>
      <c r="AD140" s="5">
        <v>199</v>
      </c>
      <c r="AE140" s="5">
        <v>196</v>
      </c>
      <c r="AF140" s="5">
        <v>37</v>
      </c>
      <c r="AG140" s="5">
        <v>15</v>
      </c>
      <c r="AH140" s="5">
        <f>AC140+AD140+AE140+AF140+AG140</f>
        <v>486</v>
      </c>
      <c r="AI140" s="5">
        <v>1416</v>
      </c>
      <c r="AJ140" s="24">
        <f>AB140-AI140</f>
        <v>2</v>
      </c>
    </row>
    <row r="141" spans="28:30" ht="15">
      <c r="AB141" s="27"/>
      <c r="AC141" s="27"/>
      <c r="AD141" s="27"/>
    </row>
    <row r="142" spans="28:30" ht="15">
      <c r="AB142" s="27"/>
      <c r="AC142" s="27"/>
      <c r="AD142" s="27"/>
    </row>
    <row r="143" spans="18:30" ht="15">
      <c r="R143" s="145" t="s">
        <v>137</v>
      </c>
      <c r="S143" s="145"/>
      <c r="T143" s="145"/>
      <c r="U143" s="145"/>
      <c r="V143" s="145"/>
      <c r="W143" s="145"/>
      <c r="X143" s="145"/>
      <c r="Y143" s="145"/>
      <c r="Z143" s="145"/>
      <c r="AB143" s="27"/>
      <c r="AC143" s="27"/>
      <c r="AD143" s="27"/>
    </row>
    <row r="144" spans="18:30" ht="15">
      <c r="R144" s="5"/>
      <c r="S144" s="146" t="s">
        <v>138</v>
      </c>
      <c r="T144" s="146"/>
      <c r="U144" s="146"/>
      <c r="V144" s="146"/>
      <c r="W144" s="146" t="s">
        <v>139</v>
      </c>
      <c r="X144" s="146"/>
      <c r="Y144" s="146"/>
      <c r="Z144" s="146"/>
      <c r="AB144" s="27"/>
      <c r="AC144" s="27"/>
      <c r="AD144" s="27"/>
    </row>
    <row r="145" spans="18:30" ht="29.25">
      <c r="R145" s="5"/>
      <c r="S145" s="104" t="s">
        <v>140</v>
      </c>
      <c r="T145" s="59" t="s">
        <v>141</v>
      </c>
      <c r="U145" s="59" t="s">
        <v>142</v>
      </c>
      <c r="V145" s="59" t="s">
        <v>143</v>
      </c>
      <c r="W145" s="104" t="s">
        <v>140</v>
      </c>
      <c r="X145" s="59" t="s">
        <v>141</v>
      </c>
      <c r="Y145" s="59" t="s">
        <v>142</v>
      </c>
      <c r="Z145" s="59" t="s">
        <v>143</v>
      </c>
      <c r="AB145" s="27"/>
      <c r="AC145" s="27"/>
      <c r="AD145" s="27"/>
    </row>
    <row r="146" spans="18:30" ht="15">
      <c r="R146" s="4">
        <v>48</v>
      </c>
      <c r="S146" s="4">
        <v>1464</v>
      </c>
      <c r="T146" s="4">
        <v>21</v>
      </c>
      <c r="U146" s="4">
        <v>75</v>
      </c>
      <c r="V146" s="4">
        <v>1518</v>
      </c>
      <c r="W146" s="4">
        <v>434</v>
      </c>
      <c r="X146" s="4"/>
      <c r="Y146" s="4"/>
      <c r="Z146" s="4">
        <v>434</v>
      </c>
      <c r="AB146" s="27"/>
      <c r="AC146" s="27"/>
      <c r="AD146" s="27"/>
    </row>
    <row r="147" spans="18:30" ht="15">
      <c r="R147" s="4">
        <v>49</v>
      </c>
      <c r="S147" s="4">
        <v>2735</v>
      </c>
      <c r="T147" s="4">
        <v>12</v>
      </c>
      <c r="U147" s="4">
        <v>21</v>
      </c>
      <c r="V147" s="4">
        <v>2744</v>
      </c>
      <c r="W147" s="4">
        <v>9492</v>
      </c>
      <c r="X147" s="4"/>
      <c r="Y147" s="4"/>
      <c r="Z147" s="4">
        <v>9492</v>
      </c>
      <c r="AB147" s="27"/>
      <c r="AC147" s="27"/>
      <c r="AD147" s="27"/>
    </row>
    <row r="148" spans="18:30" ht="15">
      <c r="R148" s="4">
        <v>50</v>
      </c>
      <c r="S148" s="4">
        <v>1487</v>
      </c>
      <c r="T148" s="4">
        <v>55</v>
      </c>
      <c r="U148" s="4">
        <v>15</v>
      </c>
      <c r="V148" s="4">
        <v>1447</v>
      </c>
      <c r="W148" s="4">
        <v>2644</v>
      </c>
      <c r="X148" s="4"/>
      <c r="Y148" s="4">
        <v>50</v>
      </c>
      <c r="Z148" s="4">
        <v>2694</v>
      </c>
      <c r="AB148" s="27"/>
      <c r="AC148" s="27"/>
      <c r="AD148" s="27"/>
    </row>
    <row r="149" spans="18:30" ht="15">
      <c r="R149" s="4">
        <v>51</v>
      </c>
      <c r="S149" s="4">
        <v>2720</v>
      </c>
      <c r="T149" s="4">
        <v>10</v>
      </c>
      <c r="U149" s="4">
        <v>90</v>
      </c>
      <c r="V149" s="4">
        <v>2800</v>
      </c>
      <c r="W149" s="4">
        <v>2100</v>
      </c>
      <c r="X149" s="4"/>
      <c r="Y149" s="4"/>
      <c r="Z149" s="4">
        <v>2100</v>
      </c>
      <c r="AB149" s="27"/>
      <c r="AC149" s="27"/>
      <c r="AD149" s="27"/>
    </row>
    <row r="150" spans="18:30" ht="15">
      <c r="R150" s="4" t="s">
        <v>144</v>
      </c>
      <c r="S150" s="4">
        <f>SUM(S146:S149)</f>
        <v>8406</v>
      </c>
      <c r="T150" s="4">
        <f aca="true" t="shared" si="47" ref="T150:Z150">SUM(T146:T149)</f>
        <v>98</v>
      </c>
      <c r="U150" s="4">
        <f t="shared" si="47"/>
        <v>201</v>
      </c>
      <c r="V150" s="4">
        <f t="shared" si="47"/>
        <v>8509</v>
      </c>
      <c r="W150" s="4">
        <f t="shared" si="47"/>
        <v>14670</v>
      </c>
      <c r="X150" s="4">
        <f t="shared" si="47"/>
        <v>0</v>
      </c>
      <c r="Y150" s="4">
        <f t="shared" si="47"/>
        <v>50</v>
      </c>
      <c r="Z150" s="4">
        <f t="shared" si="47"/>
        <v>14720</v>
      </c>
      <c r="AB150" s="27"/>
      <c r="AC150" s="27"/>
      <c r="AD150" s="27"/>
    </row>
    <row r="151" spans="28:30" ht="15">
      <c r="AB151" s="27"/>
      <c r="AC151" s="27"/>
      <c r="AD151" s="27"/>
    </row>
    <row r="152" spans="28:30" ht="15">
      <c r="AB152" s="27"/>
      <c r="AC152" s="27"/>
      <c r="AD152" s="27"/>
    </row>
    <row r="153" spans="28:30" ht="15">
      <c r="AB153" s="27"/>
      <c r="AC153" s="27"/>
      <c r="AD153" s="27"/>
    </row>
    <row r="154" spans="28:30" ht="15">
      <c r="AB154" s="27"/>
      <c r="AC154" s="27"/>
      <c r="AD154" s="27"/>
    </row>
    <row r="155" spans="28:30" ht="15">
      <c r="AB155" s="27"/>
      <c r="AC155" s="27"/>
      <c r="AD155" s="27"/>
    </row>
    <row r="156" spans="28:30" ht="15">
      <c r="AB156" s="27"/>
      <c r="AC156" s="27"/>
      <c r="AD156" s="27"/>
    </row>
    <row r="157" spans="28:30" ht="15">
      <c r="AB157" s="27"/>
      <c r="AC157" s="27"/>
      <c r="AD157" s="27"/>
    </row>
    <row r="158" spans="28:30" ht="15">
      <c r="AB158" s="27"/>
      <c r="AC158" s="27"/>
      <c r="AD158" s="27"/>
    </row>
    <row r="159" spans="28:30" ht="15">
      <c r="AB159" s="27"/>
      <c r="AC159" s="27"/>
      <c r="AD159" s="27"/>
    </row>
    <row r="160" spans="28:30" ht="15">
      <c r="AB160" s="27"/>
      <c r="AC160" s="27"/>
      <c r="AD160" s="27"/>
    </row>
    <row r="161" spans="28:30" ht="15">
      <c r="AB161" s="27"/>
      <c r="AC161" s="27"/>
      <c r="AD161" s="27"/>
    </row>
    <row r="162" spans="28:32" ht="15">
      <c r="AB162" s="27"/>
      <c r="AC162" s="27"/>
      <c r="AD162" s="27"/>
      <c r="AF162" s="29"/>
    </row>
    <row r="163" spans="28:30" ht="15">
      <c r="AB163" s="27"/>
      <c r="AC163" s="27"/>
      <c r="AD163" s="27"/>
    </row>
    <row r="164" spans="28:30" ht="15">
      <c r="AB164" s="27"/>
      <c r="AC164" s="27"/>
      <c r="AD164" s="27"/>
    </row>
    <row r="165" spans="28:30" ht="15">
      <c r="AB165" s="27"/>
      <c r="AC165" s="27"/>
      <c r="AD165" s="27"/>
    </row>
    <row r="166" spans="28:30" ht="15">
      <c r="AB166" s="27"/>
      <c r="AC166" s="27"/>
      <c r="AD166" s="27"/>
    </row>
    <row r="167" spans="28:30" ht="15">
      <c r="AB167" s="27"/>
      <c r="AC167" s="27"/>
      <c r="AD167" s="27"/>
    </row>
    <row r="168" spans="28:30" ht="15">
      <c r="AB168" s="27"/>
      <c r="AC168" s="27"/>
      <c r="AD168" s="27"/>
    </row>
    <row r="169" spans="28:30" ht="15">
      <c r="AB169" s="27"/>
      <c r="AC169" s="27"/>
      <c r="AD169" s="27"/>
    </row>
    <row r="170" spans="28:30" ht="15">
      <c r="AB170" s="27"/>
      <c r="AC170" s="27"/>
      <c r="AD170" s="27"/>
    </row>
    <row r="171" spans="28:30" ht="15">
      <c r="AB171" s="27"/>
      <c r="AC171" s="27"/>
      <c r="AD171" s="27"/>
    </row>
    <row r="172" spans="28:30" ht="15">
      <c r="AB172" s="27"/>
      <c r="AC172" s="27"/>
      <c r="AD172" s="27"/>
    </row>
    <row r="173" spans="28:30" ht="15">
      <c r="AB173" s="27"/>
      <c r="AC173" s="27"/>
      <c r="AD173" s="27"/>
    </row>
    <row r="174" spans="28:30" ht="15">
      <c r="AB174" s="27"/>
      <c r="AC174" s="27"/>
      <c r="AD174" s="27"/>
    </row>
    <row r="175" spans="28:30" ht="15">
      <c r="AB175" s="27"/>
      <c r="AC175" s="27"/>
      <c r="AD175" s="27"/>
    </row>
    <row r="176" spans="28:30" ht="15">
      <c r="AB176" s="27"/>
      <c r="AC176" s="27"/>
      <c r="AD176" s="27"/>
    </row>
    <row r="177" spans="28:30" ht="15">
      <c r="AB177" s="27"/>
      <c r="AC177" s="27"/>
      <c r="AD177" s="27"/>
    </row>
    <row r="178" spans="28:30" ht="15">
      <c r="AB178" s="27"/>
      <c r="AC178" s="27"/>
      <c r="AD178" s="27"/>
    </row>
    <row r="179" spans="28:30" ht="15">
      <c r="AB179" s="27"/>
      <c r="AC179" s="27"/>
      <c r="AD179" s="27"/>
    </row>
    <row r="180" spans="28:30" ht="15">
      <c r="AB180" s="27"/>
      <c r="AC180" s="27"/>
      <c r="AD180" s="27"/>
    </row>
    <row r="181" spans="28:30" ht="15">
      <c r="AB181" s="27"/>
      <c r="AC181" s="27"/>
      <c r="AD181" s="27"/>
    </row>
    <row r="182" spans="28:30" ht="15">
      <c r="AB182" s="27"/>
      <c r="AC182" s="27"/>
      <c r="AD182" s="27"/>
    </row>
    <row r="183" spans="28:30" ht="15">
      <c r="AB183" s="27"/>
      <c r="AC183" s="27"/>
      <c r="AD183" s="27"/>
    </row>
    <row r="184" spans="28:30" ht="15">
      <c r="AB184" s="27"/>
      <c r="AC184" s="27"/>
      <c r="AD184" s="27"/>
    </row>
    <row r="185" spans="28:30" ht="15">
      <c r="AB185" s="27"/>
      <c r="AC185" s="27"/>
      <c r="AD185" s="27"/>
    </row>
    <row r="186" spans="28:30" ht="15">
      <c r="AB186" s="27"/>
      <c r="AC186" s="27"/>
      <c r="AD186" s="27"/>
    </row>
    <row r="187" spans="28:30" ht="15">
      <c r="AB187" s="27"/>
      <c r="AC187" s="27"/>
      <c r="AD187" s="27"/>
    </row>
    <row r="188" spans="28:30" ht="15">
      <c r="AB188" s="27"/>
      <c r="AC188" s="27"/>
      <c r="AD188" s="27"/>
    </row>
    <row r="189" spans="28:30" ht="15">
      <c r="AB189" s="27"/>
      <c r="AC189" s="27"/>
      <c r="AD189" s="27"/>
    </row>
    <row r="190" spans="28:30" ht="15">
      <c r="AB190" s="27"/>
      <c r="AC190" s="27"/>
      <c r="AD190" s="27"/>
    </row>
    <row r="191" spans="28:30" ht="15">
      <c r="AB191" s="27"/>
      <c r="AC191" s="27"/>
      <c r="AD191" s="27"/>
    </row>
    <row r="192" spans="28:30" ht="15">
      <c r="AB192" s="27"/>
      <c r="AC192" s="27"/>
      <c r="AD192" s="27"/>
    </row>
    <row r="193" spans="28:30" ht="15">
      <c r="AB193" s="27"/>
      <c r="AC193" s="27"/>
      <c r="AD193" s="27"/>
    </row>
    <row r="194" spans="28:30" ht="15">
      <c r="AB194" s="27"/>
      <c r="AC194" s="27"/>
      <c r="AD194" s="27"/>
    </row>
    <row r="195" spans="28:30" ht="15">
      <c r="AB195" s="27"/>
      <c r="AC195" s="27"/>
      <c r="AD195" s="27"/>
    </row>
    <row r="196" spans="28:30" ht="15">
      <c r="AB196" s="27"/>
      <c r="AC196" s="27"/>
      <c r="AD196" s="27"/>
    </row>
    <row r="197" spans="28:30" ht="15">
      <c r="AB197" s="27"/>
      <c r="AC197" s="27"/>
      <c r="AD197" s="27"/>
    </row>
    <row r="198" spans="28:30" ht="15">
      <c r="AB198" s="27"/>
      <c r="AC198" s="27"/>
      <c r="AD198" s="27"/>
    </row>
    <row r="199" spans="28:30" ht="15">
      <c r="AB199" s="27"/>
      <c r="AC199" s="27"/>
      <c r="AD199" s="27"/>
    </row>
    <row r="200" spans="28:30" ht="15">
      <c r="AB200" s="27"/>
      <c r="AC200" s="27"/>
      <c r="AD200" s="27"/>
    </row>
    <row r="201" spans="28:30" ht="15">
      <c r="AB201" s="27"/>
      <c r="AC201" s="27"/>
      <c r="AD201" s="27"/>
    </row>
    <row r="202" spans="28:30" ht="15">
      <c r="AB202" s="27"/>
      <c r="AC202" s="27"/>
      <c r="AD202" s="27"/>
    </row>
    <row r="203" spans="28:30" ht="15">
      <c r="AB203" s="27"/>
      <c r="AC203" s="27"/>
      <c r="AD203" s="27"/>
    </row>
    <row r="204" spans="28:30" ht="15">
      <c r="AB204" s="27"/>
      <c r="AC204" s="27"/>
      <c r="AD204" s="27"/>
    </row>
    <row r="205" spans="28:30" ht="15">
      <c r="AB205" s="27"/>
      <c r="AC205" s="27"/>
      <c r="AD205" s="27"/>
    </row>
    <row r="206" spans="28:30" ht="15">
      <c r="AB206" s="27"/>
      <c r="AC206" s="27"/>
      <c r="AD206" s="27"/>
    </row>
    <row r="207" spans="28:30" ht="15">
      <c r="AB207" s="27"/>
      <c r="AC207" s="27"/>
      <c r="AD207" s="27"/>
    </row>
    <row r="208" spans="28:30" ht="15">
      <c r="AB208" s="27"/>
      <c r="AC208" s="27"/>
      <c r="AD208" s="27"/>
    </row>
    <row r="209" spans="28:30" ht="15">
      <c r="AB209" s="27"/>
      <c r="AC209" s="27"/>
      <c r="AD209" s="27"/>
    </row>
    <row r="210" spans="28:30" ht="15">
      <c r="AB210" s="27"/>
      <c r="AC210" s="27"/>
      <c r="AD210" s="27"/>
    </row>
    <row r="211" spans="28:30" ht="15">
      <c r="AB211" s="27"/>
      <c r="AC211" s="27"/>
      <c r="AD211" s="27"/>
    </row>
    <row r="212" spans="28:30" ht="15">
      <c r="AB212" s="27"/>
      <c r="AC212" s="27"/>
      <c r="AD212" s="27"/>
    </row>
    <row r="213" spans="28:30" ht="15">
      <c r="AB213" s="27"/>
      <c r="AC213" s="27"/>
      <c r="AD213" s="27"/>
    </row>
    <row r="214" spans="28:30" ht="15">
      <c r="AB214" s="27"/>
      <c r="AC214" s="27"/>
      <c r="AD214" s="27"/>
    </row>
    <row r="215" spans="28:30" ht="15">
      <c r="AB215" s="27"/>
      <c r="AC215" s="27"/>
      <c r="AD215" s="27"/>
    </row>
    <row r="216" spans="28:33" ht="15">
      <c r="AB216" s="27"/>
      <c r="AC216" s="27"/>
      <c r="AD216" s="27"/>
      <c r="AF216" s="27"/>
      <c r="AG216" s="27"/>
    </row>
  </sheetData>
  <sheetProtection/>
  <mergeCells count="54">
    <mergeCell ref="E18:G18"/>
    <mergeCell ref="E19:G19"/>
    <mergeCell ref="A47:D47"/>
    <mergeCell ref="A17:D17"/>
    <mergeCell ref="A18:D18"/>
    <mergeCell ref="A19:D19"/>
    <mergeCell ref="A20:D20"/>
    <mergeCell ref="A71:D71"/>
    <mergeCell ref="D72:G72"/>
    <mergeCell ref="D73:G73"/>
    <mergeCell ref="D74:G74"/>
    <mergeCell ref="E48:G48"/>
    <mergeCell ref="E49:G49"/>
    <mergeCell ref="I56:O56"/>
    <mergeCell ref="I78:O78"/>
    <mergeCell ref="A90:D90"/>
    <mergeCell ref="R143:Z143"/>
    <mergeCell ref="S144:V144"/>
    <mergeCell ref="W144:Z144"/>
    <mergeCell ref="C98:I98"/>
    <mergeCell ref="A100:D100"/>
    <mergeCell ref="A101:D101"/>
    <mergeCell ref="A95:D95"/>
    <mergeCell ref="D91:G91"/>
    <mergeCell ref="C111:D111"/>
    <mergeCell ref="C116:D116"/>
    <mergeCell ref="D92:G92"/>
    <mergeCell ref="D94:G94"/>
    <mergeCell ref="D93:G93"/>
    <mergeCell ref="A133:A134"/>
    <mergeCell ref="B133:B134"/>
    <mergeCell ref="C133:C134"/>
    <mergeCell ref="D133:D134"/>
    <mergeCell ref="A102:D102"/>
    <mergeCell ref="A104:D104"/>
    <mergeCell ref="A103:D103"/>
    <mergeCell ref="C106:D106"/>
    <mergeCell ref="J133:J134"/>
    <mergeCell ref="S133:S134"/>
    <mergeCell ref="C126:D126"/>
    <mergeCell ref="E133:E134"/>
    <mergeCell ref="F133:F134"/>
    <mergeCell ref="G133:G134"/>
    <mergeCell ref="C121:D121"/>
    <mergeCell ref="C125:D125"/>
    <mergeCell ref="H133:H134"/>
    <mergeCell ref="I133:I134"/>
    <mergeCell ref="T133:T134"/>
    <mergeCell ref="K133:K134"/>
    <mergeCell ref="L133:L134"/>
    <mergeCell ref="M133:M134"/>
    <mergeCell ref="N133:N134"/>
    <mergeCell ref="O133:O134"/>
    <mergeCell ref="P133:P134"/>
  </mergeCells>
  <printOptions/>
  <pageMargins left="0.03937007874015748" right="0.07874015748031496" top="0.15748031496062992" bottom="0.15748031496062992" header="0.15748031496062992" footer="0.15748031496062992"/>
  <pageSetup fitToHeight="1" fitToWidth="1" horizontalDpi="600" verticalDpi="600" orientation="landscape" paperSize="9" scale="26" r:id="rId1"/>
  <rowBreaks count="3" manualBreakCount="3">
    <brk id="52" max="35" man="1"/>
    <brk id="104" max="35" man="1"/>
    <brk id="105" max="35" man="1"/>
  </rowBreaks>
  <colBreaks count="1" manualBreakCount="1">
    <brk id="34" max="1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2018-05-22T11:39:14Z</cp:lastPrinted>
  <dcterms:created xsi:type="dcterms:W3CDTF">2003-10-21T05:34:23Z</dcterms:created>
  <dcterms:modified xsi:type="dcterms:W3CDTF">2018-05-22T13:03:05Z</dcterms:modified>
  <cp:category/>
  <cp:version/>
  <cp:contentType/>
  <cp:contentStatus/>
</cp:coreProperties>
</file>