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<sst xmlns="http://schemas.openxmlformats.org/spreadsheetml/2006/main" count="59" uniqueCount="50">
  <si>
    <t>Сводный  отчет по статьям расходов</t>
  </si>
  <si>
    <t>ООО ЖЭУ "Камстройсервис"</t>
  </si>
  <si>
    <t>за   2011 года</t>
  </si>
  <si>
    <t>Наименование услуг</t>
  </si>
  <si>
    <t>Факт.,расходы, рублей</t>
  </si>
  <si>
    <t>Уборка внутридомовых мест общего пользования</t>
  </si>
  <si>
    <t>Уборка  и очистка придомовой территории</t>
  </si>
  <si>
    <t>Обслуживание мусоропроводов</t>
  </si>
  <si>
    <t>Ремонт жилых зданий и благоустройство территории</t>
  </si>
  <si>
    <t>Техническое обслуживание и ремонт внутридомовых водопроводно-канализационных сетей</t>
  </si>
  <si>
    <t>Техническое обслуживание и ремонт внутридомовых  сетей центрального отопления</t>
  </si>
  <si>
    <t>Управление жилым фондом</t>
  </si>
  <si>
    <t xml:space="preserve">Капитальный ремонт </t>
  </si>
  <si>
    <t>Плата за найм</t>
  </si>
  <si>
    <t>Платежи населения:</t>
  </si>
  <si>
    <t>Тек. ремонт</t>
  </si>
  <si>
    <t>Сан.содерж</t>
  </si>
  <si>
    <t>Упр.комп.</t>
  </si>
  <si>
    <t>Итого:</t>
  </si>
  <si>
    <t>план</t>
  </si>
  <si>
    <t>факт</t>
  </si>
  <si>
    <t>Численность</t>
  </si>
  <si>
    <t xml:space="preserve">  -  АУП</t>
  </si>
  <si>
    <t xml:space="preserve">   -Услуги УК</t>
  </si>
  <si>
    <t xml:space="preserve">  - рабочие</t>
  </si>
  <si>
    <t xml:space="preserve">    ФОТ</t>
  </si>
  <si>
    <t xml:space="preserve">   -АУП</t>
  </si>
  <si>
    <t xml:space="preserve">   - рабочие</t>
  </si>
  <si>
    <t xml:space="preserve">  ЕСН</t>
  </si>
  <si>
    <t xml:space="preserve">  Материалы</t>
  </si>
  <si>
    <t xml:space="preserve">  - спецодежда</t>
  </si>
  <si>
    <t xml:space="preserve">  - инвентарь</t>
  </si>
  <si>
    <t xml:space="preserve"> - с/жиры</t>
  </si>
  <si>
    <t xml:space="preserve">  -  моющие средства</t>
  </si>
  <si>
    <t xml:space="preserve">  - транспорт </t>
  </si>
  <si>
    <t xml:space="preserve">  - зарп.плата</t>
  </si>
  <si>
    <t xml:space="preserve">  -ЕСН</t>
  </si>
  <si>
    <t xml:space="preserve">   -Лизинг</t>
  </si>
  <si>
    <t xml:space="preserve">  - прочие</t>
  </si>
  <si>
    <t>Услуги сторон. организац.</t>
  </si>
  <si>
    <t>Услуги УК в том числе:</t>
  </si>
  <si>
    <t xml:space="preserve">  - матер.расходы</t>
  </si>
  <si>
    <t xml:space="preserve"> - транспортные расходы</t>
  </si>
  <si>
    <t xml:space="preserve"> - Амортизация</t>
  </si>
  <si>
    <t>Услуги РИТЦ</t>
  </si>
  <si>
    <t xml:space="preserve"> - Аренда</t>
  </si>
  <si>
    <t xml:space="preserve"> - Текущий ремонт помещ.</t>
  </si>
  <si>
    <t>Капитальн.ремонт</t>
  </si>
  <si>
    <t>Найм</t>
  </si>
  <si>
    <t>Всего расходов 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</si>
</sst>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20">
    <font>
      <sz val="10"/>
      <name val="Arial"/>
      <family val="0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Arial"/>
      <family val="2"/>
    </font>
    <font>
      <b/>
      <sz val="14"/>
      <name val="Times New Roman"/>
      <family val="1"/>
    </font>
    <font>
      <b/>
      <i/>
      <sz val="14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sz val="12"/>
      <name val="Arial Cyr"/>
      <family val="0"/>
    </font>
    <font>
      <b/>
      <sz val="14"/>
      <name val="Verdana"/>
      <family val="2"/>
    </font>
    <font>
      <sz val="12"/>
      <color indexed="8"/>
      <name val="Arial Cyr"/>
      <family val="2"/>
    </font>
    <font>
      <b/>
      <sz val="12"/>
      <name val="Arial Cyr"/>
      <family val="2"/>
    </font>
    <font>
      <sz val="12"/>
      <color indexed="63"/>
      <name val="Arial Cyr"/>
      <family val="2"/>
    </font>
    <font>
      <b/>
      <sz val="12"/>
      <color indexed="63"/>
      <name val="Arial Cyr"/>
      <family val="2"/>
    </font>
    <font>
      <b/>
      <sz val="12"/>
      <color indexed="53"/>
      <name val="Arial Cyr"/>
      <family val="2"/>
    </font>
    <font>
      <b/>
      <sz val="12"/>
      <color indexed="8"/>
      <name val="Arial Cyr"/>
      <family val="2"/>
    </font>
    <font>
      <b/>
      <i/>
      <sz val="11"/>
      <name val="Arial Cyr"/>
      <family val="0"/>
    </font>
    <font>
      <b/>
      <sz val="11"/>
      <name val="Arial Cyr"/>
      <family val="2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/>
    </xf>
    <xf numFmtId="180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/>
    </xf>
    <xf numFmtId="180" fontId="9" fillId="3" borderId="1" xfId="0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180" fontId="11" fillId="0" borderId="1" xfId="0" applyNumberFormat="1" applyFont="1" applyBorder="1" applyAlignment="1">
      <alignment horizontal="center"/>
    </xf>
    <xf numFmtId="180" fontId="9" fillId="0" borderId="1" xfId="0" applyNumberFormat="1" applyFont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180" fontId="12" fillId="3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center"/>
    </xf>
    <xf numFmtId="180" fontId="14" fillId="0" borderId="1" xfId="0" applyNumberFormat="1" applyFont="1" applyFill="1" applyBorder="1" applyAlignment="1">
      <alignment horizontal="center"/>
    </xf>
    <xf numFmtId="180" fontId="12" fillId="3" borderId="1" xfId="0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180" fontId="9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/>
    </xf>
    <xf numFmtId="180" fontId="16" fillId="3" borderId="1" xfId="0" applyNumberFormat="1" applyFont="1" applyFill="1" applyBorder="1" applyAlignment="1">
      <alignment horizontal="center"/>
    </xf>
    <xf numFmtId="180" fontId="12" fillId="0" borderId="1" xfId="0" applyNumberFormat="1" applyFont="1" applyFill="1" applyBorder="1" applyAlignment="1">
      <alignment horizontal="center"/>
    </xf>
    <xf numFmtId="180" fontId="12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/>
    </xf>
    <xf numFmtId="0" fontId="9" fillId="0" borderId="2" xfId="0" applyFont="1" applyBorder="1" applyAlignment="1">
      <alignment/>
    </xf>
    <xf numFmtId="3" fontId="12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/>
    </xf>
    <xf numFmtId="3" fontId="18" fillId="0" borderId="1" xfId="0" applyNumberFormat="1" applyFont="1" applyBorder="1" applyAlignment="1">
      <alignment horizontal="center"/>
    </xf>
    <xf numFmtId="180" fontId="18" fillId="0" borderId="1" xfId="0" applyNumberFormat="1" applyFont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6"/>
  <sheetViews>
    <sheetView tabSelected="1" view="pageBreakPreview" zoomScale="60" workbookViewId="0" topLeftCell="A1">
      <selection activeCell="C37" sqref="C37"/>
    </sheetView>
  </sheetViews>
  <sheetFormatPr defaultColWidth="9.140625" defaultRowHeight="12.75"/>
  <cols>
    <col min="1" max="1" width="29.7109375" style="0" customWidth="1"/>
    <col min="2" max="2" width="15.8515625" style="0" customWidth="1"/>
    <col min="3" max="3" width="18.8515625" style="0" customWidth="1"/>
    <col min="4" max="4" width="12.28125" style="0" customWidth="1"/>
    <col min="5" max="5" width="13.28125" style="0" customWidth="1"/>
    <col min="8" max="8" width="10.57421875" style="0" customWidth="1"/>
    <col min="9" max="9" width="11.8515625" style="0" customWidth="1"/>
  </cols>
  <sheetData>
    <row r="3" spans="2:7" ht="20.25">
      <c r="B3" s="55" t="s">
        <v>0</v>
      </c>
      <c r="C3" s="55"/>
      <c r="D3" s="55"/>
      <c r="E3" s="55"/>
      <c r="F3" s="55"/>
      <c r="G3" s="55"/>
    </row>
    <row r="4" spans="2:7" ht="20.25">
      <c r="B4" s="55" t="s">
        <v>1</v>
      </c>
      <c r="C4" s="55"/>
      <c r="D4" s="55"/>
      <c r="E4" s="55"/>
      <c r="F4" s="55"/>
      <c r="G4" s="55"/>
    </row>
    <row r="5" spans="2:6" ht="20.25">
      <c r="B5" s="56" t="s">
        <v>2</v>
      </c>
      <c r="C5" s="56"/>
      <c r="D5" s="56"/>
      <c r="E5" s="56"/>
      <c r="F5" s="56"/>
    </row>
    <row r="6" spans="2:5" ht="20.25">
      <c r="B6" s="1"/>
      <c r="C6" s="1"/>
      <c r="D6" s="1"/>
      <c r="E6" s="2"/>
    </row>
    <row r="7" spans="2:7" ht="12.75" customHeight="1">
      <c r="B7" s="57" t="s">
        <v>3</v>
      </c>
      <c r="C7" s="57"/>
      <c r="D7" s="57"/>
      <c r="E7" s="57"/>
      <c r="F7" s="58" t="s">
        <v>4</v>
      </c>
      <c r="G7" s="58"/>
    </row>
    <row r="8" spans="2:7" ht="36" customHeight="1">
      <c r="B8" s="57"/>
      <c r="C8" s="57"/>
      <c r="D8" s="57"/>
      <c r="E8" s="57"/>
      <c r="F8" s="58"/>
      <c r="G8" s="58"/>
    </row>
    <row r="9" spans="2:7" ht="62.25" customHeight="1">
      <c r="B9" s="54" t="s">
        <v>5</v>
      </c>
      <c r="C9" s="54"/>
      <c r="D9" s="54"/>
      <c r="E9" s="54"/>
      <c r="F9" s="51">
        <v>9950</v>
      </c>
      <c r="G9" s="51"/>
    </row>
    <row r="10" spans="2:7" ht="46.5" customHeight="1">
      <c r="B10" s="54" t="s">
        <v>6</v>
      </c>
      <c r="C10" s="54"/>
      <c r="D10" s="54"/>
      <c r="E10" s="54"/>
      <c r="F10" s="51">
        <v>14145</v>
      </c>
      <c r="G10" s="51"/>
    </row>
    <row r="11" spans="2:7" ht="48.75" customHeight="1">
      <c r="B11" s="54" t="s">
        <v>7</v>
      </c>
      <c r="C11" s="54"/>
      <c r="D11" s="54"/>
      <c r="E11" s="54"/>
      <c r="F11" s="51">
        <v>8777.229422357936</v>
      </c>
      <c r="G11" s="51"/>
    </row>
    <row r="12" spans="2:7" ht="60" customHeight="1">
      <c r="B12" s="54" t="s">
        <v>8</v>
      </c>
      <c r="C12" s="54"/>
      <c r="D12" s="54"/>
      <c r="E12" s="54"/>
      <c r="F12" s="51">
        <v>20378.739138291858</v>
      </c>
      <c r="G12" s="51"/>
    </row>
    <row r="13" spans="2:7" ht="84" customHeight="1">
      <c r="B13" s="54" t="s">
        <v>9</v>
      </c>
      <c r="C13" s="54"/>
      <c r="D13" s="54"/>
      <c r="E13" s="54"/>
      <c r="F13" s="51">
        <v>14834.579403857846</v>
      </c>
      <c r="G13" s="51"/>
    </row>
    <row r="14" spans="2:7" ht="64.5" customHeight="1">
      <c r="B14" s="54" t="s">
        <v>10</v>
      </c>
      <c r="C14" s="54"/>
      <c r="D14" s="54"/>
      <c r="E14" s="54"/>
      <c r="F14" s="51">
        <v>13442.43413339683</v>
      </c>
      <c r="G14" s="51"/>
    </row>
    <row r="15" spans="2:7" ht="36.75" customHeight="1">
      <c r="B15" s="54" t="s">
        <v>11</v>
      </c>
      <c r="C15" s="54"/>
      <c r="D15" s="54"/>
      <c r="E15" s="54"/>
      <c r="F15" s="51">
        <v>17213</v>
      </c>
      <c r="G15" s="51"/>
    </row>
    <row r="16" spans="2:7" ht="27" customHeight="1">
      <c r="B16" s="54" t="s">
        <v>12</v>
      </c>
      <c r="C16" s="54"/>
      <c r="D16" s="54"/>
      <c r="E16" s="54"/>
      <c r="F16" s="51">
        <v>38900.8</v>
      </c>
      <c r="G16" s="51"/>
    </row>
    <row r="17" spans="2:7" ht="27" customHeight="1">
      <c r="B17" s="50" t="s">
        <v>13</v>
      </c>
      <c r="C17" s="50"/>
      <c r="D17" s="50"/>
      <c r="E17" s="50"/>
      <c r="F17" s="51">
        <v>5244.9</v>
      </c>
      <c r="G17" s="51"/>
    </row>
    <row r="18" spans="2:7" ht="29.25" customHeight="1">
      <c r="B18" s="52" t="s">
        <v>14</v>
      </c>
      <c r="C18" s="52"/>
      <c r="D18" s="52"/>
      <c r="E18" s="52"/>
      <c r="F18" s="53">
        <v>142886.68209790447</v>
      </c>
      <c r="G18" s="53"/>
    </row>
    <row r="19" spans="1:3" ht="12.75" customHeight="1">
      <c r="A19" s="3"/>
      <c r="B19" s="3"/>
      <c r="C19" s="4"/>
    </row>
    <row r="20" spans="1:3" ht="12.75" customHeight="1">
      <c r="A20" s="5"/>
      <c r="B20" s="5"/>
      <c r="C20" s="6"/>
    </row>
    <row r="22" spans="1:9" ht="27.75" customHeight="1">
      <c r="A22" s="49"/>
      <c r="B22" s="48" t="s">
        <v>15</v>
      </c>
      <c r="C22" s="48"/>
      <c r="D22" s="48" t="s">
        <v>16</v>
      </c>
      <c r="E22" s="48"/>
      <c r="F22" s="48" t="s">
        <v>17</v>
      </c>
      <c r="G22" s="48"/>
      <c r="H22" s="48" t="s">
        <v>18</v>
      </c>
      <c r="I22" s="48"/>
    </row>
    <row r="23" spans="1:9" ht="15">
      <c r="A23" s="49"/>
      <c r="B23" s="7" t="s">
        <v>19</v>
      </c>
      <c r="C23" s="7" t="s">
        <v>20</v>
      </c>
      <c r="D23" s="7" t="s">
        <v>19</v>
      </c>
      <c r="E23" s="7" t="s">
        <v>20</v>
      </c>
      <c r="F23" s="7" t="s">
        <v>19</v>
      </c>
      <c r="G23" s="7" t="s">
        <v>20</v>
      </c>
      <c r="H23" s="7" t="s">
        <v>19</v>
      </c>
      <c r="I23" s="7" t="s">
        <v>20</v>
      </c>
    </row>
    <row r="24" spans="1:9" ht="15">
      <c r="A24" s="8" t="s">
        <v>21</v>
      </c>
      <c r="B24" s="9">
        <f aca="true" t="shared" si="0" ref="B24:G24">SUM(B25:B27)</f>
        <v>223.5</v>
      </c>
      <c r="C24" s="10">
        <f t="shared" si="0"/>
        <v>152.60000000000002</v>
      </c>
      <c r="D24" s="9">
        <f t="shared" si="0"/>
        <v>298</v>
      </c>
      <c r="E24" s="10">
        <f t="shared" si="0"/>
        <v>172</v>
      </c>
      <c r="F24" s="10">
        <f t="shared" si="0"/>
        <v>29</v>
      </c>
      <c r="G24" s="10">
        <f t="shared" si="0"/>
        <v>28</v>
      </c>
      <c r="H24" s="10">
        <f aca="true" t="shared" si="1" ref="H24:I39">B24+D24+F24</f>
        <v>550.5</v>
      </c>
      <c r="I24" s="10">
        <f t="shared" si="1"/>
        <v>352.6</v>
      </c>
    </row>
    <row r="25" spans="1:9" ht="15">
      <c r="A25" s="11" t="s">
        <v>22</v>
      </c>
      <c r="B25" s="12">
        <f>7.9+8.4+5.2+7</f>
        <v>28.5</v>
      </c>
      <c r="C25" s="13">
        <f>7.7+7.3+6.2+7</f>
        <v>28.2</v>
      </c>
      <c r="D25" s="12">
        <f>7+9.5+6.5+6+2</f>
        <v>31</v>
      </c>
      <c r="E25" s="14">
        <f>8.6+8.3+7.4</f>
        <v>24.299999999999997</v>
      </c>
      <c r="F25" s="15">
        <v>23</v>
      </c>
      <c r="G25" s="15">
        <v>23</v>
      </c>
      <c r="H25" s="15">
        <f t="shared" si="1"/>
        <v>82.5</v>
      </c>
      <c r="I25" s="10">
        <f t="shared" si="1"/>
        <v>75.5</v>
      </c>
    </row>
    <row r="26" spans="1:9" ht="15">
      <c r="A26" s="11" t="s">
        <v>23</v>
      </c>
      <c r="B26" s="12"/>
      <c r="C26" s="16">
        <f>1.6+0.7+5.2</f>
        <v>7.5</v>
      </c>
      <c r="D26" s="12"/>
      <c r="E26" s="16">
        <f>1.6+0.7+0.2</f>
        <v>2.5</v>
      </c>
      <c r="F26" s="15"/>
      <c r="G26" s="15"/>
      <c r="H26" s="15">
        <f t="shared" si="1"/>
        <v>0</v>
      </c>
      <c r="I26" s="10">
        <f t="shared" si="1"/>
        <v>10</v>
      </c>
    </row>
    <row r="27" spans="1:9" ht="15">
      <c r="A27" s="11" t="s">
        <v>24</v>
      </c>
      <c r="B27" s="17">
        <f>189+5+1</f>
        <v>195</v>
      </c>
      <c r="C27" s="15">
        <f>41.9+36.1+22.5+16.4</f>
        <v>116.9</v>
      </c>
      <c r="D27" s="17">
        <v>267</v>
      </c>
      <c r="E27" s="15">
        <f>47.4+55.6+41.9+0.3</f>
        <v>145.20000000000002</v>
      </c>
      <c r="F27" s="15">
        <v>6</v>
      </c>
      <c r="G27" s="15">
        <v>5</v>
      </c>
      <c r="H27" s="15">
        <f t="shared" si="1"/>
        <v>468</v>
      </c>
      <c r="I27" s="10">
        <f t="shared" si="1"/>
        <v>267.1</v>
      </c>
    </row>
    <row r="28" spans="1:9" ht="15">
      <c r="A28" s="8" t="s">
        <v>25</v>
      </c>
      <c r="B28" s="18">
        <f aca="true" t="shared" si="2" ref="B28:G28">SUM(B29:B30)</f>
        <v>23007.326465927104</v>
      </c>
      <c r="C28" s="18">
        <f>SUM(C29:C30)</f>
        <v>20099.3</v>
      </c>
      <c r="D28" s="18">
        <f t="shared" si="2"/>
        <v>22078.71378763867</v>
      </c>
      <c r="E28" s="18">
        <f t="shared" si="2"/>
        <v>21592</v>
      </c>
      <c r="F28" s="18">
        <f t="shared" si="2"/>
        <v>5519.74</v>
      </c>
      <c r="G28" s="18">
        <f t="shared" si="2"/>
        <v>5203.8</v>
      </c>
      <c r="H28" s="18">
        <f t="shared" si="1"/>
        <v>50605.780253565776</v>
      </c>
      <c r="I28" s="18">
        <f t="shared" si="1"/>
        <v>46895.100000000006</v>
      </c>
    </row>
    <row r="29" spans="1:9" ht="15">
      <c r="A29" s="11" t="s">
        <v>26</v>
      </c>
      <c r="B29" s="19">
        <f>((3854.8*0.9/1.262)+(6833.5*0.76/1.262))-1174</f>
        <v>5690.3264659271</v>
      </c>
      <c r="C29" s="20">
        <f>1222.8+1158+972.2</f>
        <v>3353</v>
      </c>
      <c r="D29" s="21">
        <f>(((1457.6+2103.5+2052))*0.76/1.262)+500</f>
        <v>3880.313787638669</v>
      </c>
      <c r="E29" s="20">
        <f>1353.5+1308.6+1172.7</f>
        <v>3834.8</v>
      </c>
      <c r="F29" s="21">
        <f>5094.4</f>
        <v>5094.4</v>
      </c>
      <c r="G29" s="19">
        <f>4570.8</f>
        <v>4570.8</v>
      </c>
      <c r="H29" s="22">
        <f t="shared" si="1"/>
        <v>14665.040253565769</v>
      </c>
      <c r="I29" s="10">
        <f t="shared" si="1"/>
        <v>11758.6</v>
      </c>
    </row>
    <row r="30" spans="1:9" ht="15">
      <c r="A30" s="11" t="s">
        <v>27</v>
      </c>
      <c r="B30" s="19">
        <f>(5316.9+993.8+93.3+2884.1+1143.7+110.2+4592.3+250.7+605.4+152.6)+1174</f>
        <v>17317.000000000004</v>
      </c>
      <c r="C30" s="20">
        <f>5587+5515+3298.3+1243.4+1102.6</f>
        <v>16746.3</v>
      </c>
      <c r="D30" s="21">
        <f>(7610+5762.8+5325.6)-500</f>
        <v>18198.4</v>
      </c>
      <c r="E30" s="20">
        <f>5807.2+6818+5132</f>
        <v>17757.2</v>
      </c>
      <c r="F30" s="21">
        <f>11815*3*12/1000</f>
        <v>425.34</v>
      </c>
      <c r="G30" s="19">
        <v>633</v>
      </c>
      <c r="H30" s="22">
        <f t="shared" si="1"/>
        <v>35940.740000000005</v>
      </c>
      <c r="I30" s="10">
        <f t="shared" si="1"/>
        <v>35136.5</v>
      </c>
    </row>
    <row r="31" spans="1:9" ht="15">
      <c r="A31" s="8" t="s">
        <v>28</v>
      </c>
      <c r="B31" s="18">
        <f>B28*26.2%</f>
        <v>6027.919534072902</v>
      </c>
      <c r="C31" s="23">
        <f>567.2+1358.4+1347.2+807.8+293.7+278.4+234.7</f>
        <v>4887.4</v>
      </c>
      <c r="D31" s="18">
        <f>D28*26.2%</f>
        <v>5784.623012361331</v>
      </c>
      <c r="E31" s="18">
        <f>324.4+314.8+282.9+1415.2+1653.2+1249.3</f>
        <v>5239.8</v>
      </c>
      <c r="F31" s="18">
        <f>F28*26.2%</f>
        <v>1446.17188</v>
      </c>
      <c r="G31" s="18">
        <f>165.8+1202.7</f>
        <v>1368.5</v>
      </c>
      <c r="H31" s="18">
        <f t="shared" si="1"/>
        <v>13258.714426434233</v>
      </c>
      <c r="I31" s="18">
        <f t="shared" si="1"/>
        <v>11495.7</v>
      </c>
    </row>
    <row r="32" spans="1:9" ht="15">
      <c r="A32" s="11" t="s">
        <v>29</v>
      </c>
      <c r="B32" s="24">
        <f>(2273.4+3518.8+110.3+4561)</f>
        <v>10463.5</v>
      </c>
      <c r="C32" s="25">
        <f>4924.1+3233.5+2475+62.2+55.1+1.2+1.1+0.9+18.7+17.1+14.2+6.6+6.3+4.4</f>
        <v>10820.400000000003</v>
      </c>
      <c r="D32" s="26">
        <f>52.5</f>
        <v>52.5</v>
      </c>
      <c r="E32" s="25">
        <f>45.5+84+8+8+7.1+20.6+19+17+1.3+1.3+1.2</f>
        <v>213</v>
      </c>
      <c r="F32" s="24">
        <f>(389.9/3*12)-526-150</f>
        <v>883.5999999999999</v>
      </c>
      <c r="G32" s="27">
        <f>578.8+89.4+18.6+116.2+5.4</f>
        <v>808.4</v>
      </c>
      <c r="H32" s="28">
        <f t="shared" si="1"/>
        <v>11399.6</v>
      </c>
      <c r="I32" s="18">
        <f t="shared" si="1"/>
        <v>11841.800000000003</v>
      </c>
    </row>
    <row r="33" spans="1:9" ht="15">
      <c r="A33" s="11" t="s">
        <v>30</v>
      </c>
      <c r="B33" s="29">
        <f>(50.4+13.6+27.3+15.6+40.3+3.4)</f>
        <v>150.6</v>
      </c>
      <c r="C33" s="30">
        <f>26.2+38.7+35.8</f>
        <v>100.7</v>
      </c>
      <c r="D33" s="26">
        <f>(66.3+58+76.2)</f>
        <v>200.5</v>
      </c>
      <c r="E33" s="25">
        <f>56.2+56.4+39.6</f>
        <v>152.2</v>
      </c>
      <c r="F33" s="27"/>
      <c r="G33" s="27">
        <v>0</v>
      </c>
      <c r="H33" s="28">
        <f t="shared" si="1"/>
        <v>351.1</v>
      </c>
      <c r="I33" s="18">
        <f t="shared" si="1"/>
        <v>252.89999999999998</v>
      </c>
    </row>
    <row r="34" spans="1:9" ht="15">
      <c r="A34" s="11" t="s">
        <v>31</v>
      </c>
      <c r="B34" s="29">
        <f>(52.8+28.6+161.5)</f>
        <v>242.9</v>
      </c>
      <c r="C34" s="25">
        <f>165.6+19.6+14.9</f>
        <v>200.1</v>
      </c>
      <c r="D34" s="31">
        <f>(262.2+63.1+72.1)</f>
        <v>397.4</v>
      </c>
      <c r="E34" s="25">
        <f>46.1+196+3.2</f>
        <v>245.29999999999998</v>
      </c>
      <c r="F34" s="27"/>
      <c r="G34" s="27">
        <v>0</v>
      </c>
      <c r="H34" s="28">
        <f t="shared" si="1"/>
        <v>640.3</v>
      </c>
      <c r="I34" s="18">
        <f t="shared" si="1"/>
        <v>445.4</v>
      </c>
    </row>
    <row r="35" spans="1:9" ht="15">
      <c r="A35" s="11" t="s">
        <v>32</v>
      </c>
      <c r="B35" s="29"/>
      <c r="C35" s="25"/>
      <c r="D35" s="26"/>
      <c r="E35" s="25"/>
      <c r="F35" s="27"/>
      <c r="G35" s="27">
        <v>0</v>
      </c>
      <c r="H35" s="28">
        <f t="shared" si="1"/>
        <v>0</v>
      </c>
      <c r="I35" s="18">
        <f t="shared" si="1"/>
        <v>0</v>
      </c>
    </row>
    <row r="36" spans="1:9" ht="15">
      <c r="A36" s="11" t="s">
        <v>33</v>
      </c>
      <c r="B36" s="29">
        <f>(5.7+3.6+4.8)</f>
        <v>14.100000000000001</v>
      </c>
      <c r="C36" s="25">
        <f>0.3+0.5+0.3</f>
        <v>1.1</v>
      </c>
      <c r="D36" s="26">
        <f>(8.9+199+132.3)</f>
        <v>340.20000000000005</v>
      </c>
      <c r="E36" s="25">
        <f>73.9+0.4+57</f>
        <v>131.3</v>
      </c>
      <c r="F36" s="27"/>
      <c r="G36" s="27">
        <v>0</v>
      </c>
      <c r="H36" s="28">
        <f t="shared" si="1"/>
        <v>354.30000000000007</v>
      </c>
      <c r="I36" s="18">
        <f t="shared" si="1"/>
        <v>132.4</v>
      </c>
    </row>
    <row r="37" spans="1:9" ht="15">
      <c r="A37" s="11" t="s">
        <v>34</v>
      </c>
      <c r="B37" s="29">
        <f>(73.7+75.4+323.3)-200</f>
        <v>272.40000000000003</v>
      </c>
      <c r="C37" s="25">
        <f>85.2+55.8+42.5+25.4+18.9+11.4</f>
        <v>239.20000000000002</v>
      </c>
      <c r="D37" s="29">
        <f>(1738.2+13.7)-1400</f>
        <v>351.9000000000001</v>
      </c>
      <c r="E37" s="25">
        <f>2.9+205.3+3.2+25.9+34.2+23.6</f>
        <v>295.1</v>
      </c>
      <c r="F37" s="27">
        <v>178</v>
      </c>
      <c r="G37" s="27">
        <f>176.3</f>
        <v>176.3</v>
      </c>
      <c r="H37" s="28">
        <f t="shared" si="1"/>
        <v>802.3000000000002</v>
      </c>
      <c r="I37" s="18">
        <f t="shared" si="1"/>
        <v>710.6000000000001</v>
      </c>
    </row>
    <row r="38" spans="1:9" ht="15">
      <c r="A38" s="11" t="s">
        <v>35</v>
      </c>
      <c r="B38" s="32"/>
      <c r="C38" s="12"/>
      <c r="D38" s="22"/>
      <c r="E38" s="12"/>
      <c r="F38" s="22"/>
      <c r="G38" s="33"/>
      <c r="H38" s="28"/>
      <c r="I38" s="18">
        <f t="shared" si="1"/>
        <v>0</v>
      </c>
    </row>
    <row r="39" spans="1:9" ht="15">
      <c r="A39" s="11" t="s">
        <v>36</v>
      </c>
      <c r="B39" s="32"/>
      <c r="C39" s="12"/>
      <c r="D39" s="22"/>
      <c r="E39" s="12"/>
      <c r="F39" s="22"/>
      <c r="G39" s="33"/>
      <c r="H39" s="28"/>
      <c r="I39" s="18">
        <f t="shared" si="1"/>
        <v>0</v>
      </c>
    </row>
    <row r="40" spans="1:9" ht="15">
      <c r="A40" s="11" t="s">
        <v>37</v>
      </c>
      <c r="B40" s="25"/>
      <c r="C40" s="30"/>
      <c r="D40" s="27"/>
      <c r="E40" s="25"/>
      <c r="F40" s="24"/>
      <c r="G40" s="27"/>
      <c r="H40" s="28">
        <f aca="true" t="shared" si="3" ref="H40:I45">B40+D40+F40</f>
        <v>0</v>
      </c>
      <c r="I40" s="18">
        <f t="shared" si="3"/>
        <v>0</v>
      </c>
    </row>
    <row r="41" spans="1:9" ht="15">
      <c r="A41" s="11" t="s">
        <v>38</v>
      </c>
      <c r="B41" s="25"/>
      <c r="C41" s="30">
        <f>1.3+1.1+0.9</f>
        <v>3.3000000000000003</v>
      </c>
      <c r="D41" s="34"/>
      <c r="E41" s="35">
        <f>1.4+1.3+1.2</f>
        <v>3.9000000000000004</v>
      </c>
      <c r="F41" s="27">
        <v>177</v>
      </c>
      <c r="G41" s="27">
        <f>150.2+13.5</f>
        <v>163.7</v>
      </c>
      <c r="H41" s="28">
        <f t="shared" si="3"/>
        <v>177</v>
      </c>
      <c r="I41" s="18">
        <f t="shared" si="3"/>
        <v>170.89999999999998</v>
      </c>
    </row>
    <row r="42" spans="1:9" ht="15">
      <c r="A42" s="11" t="s">
        <v>39</v>
      </c>
      <c r="B42" s="36">
        <f>(43.5+6.7-19+30.1+4.6+40.8+5.9+5864-281.6)+200+1242</f>
        <v>7137</v>
      </c>
      <c r="C42" s="30">
        <f>34.1+28.5+17.3+146.7+15.1+4.6+78+2.9+2.5+1.5+1.2+0.4+0.8+0.7+0.4+28.6+5693.1+131.3+2871.6+23.1+22+17.3+53.9+50.2+44.8+3.9+3.7+2.9+1.4+0.5+1.4+0.5+11.9+11.3+9.7+27.5+25.9+21.5+406.2+299.4+270.7+35.8+34.7+21.4+141.9+146.5+120.3+31.9+21.6+13.8</f>
        <v>10936.899999999998</v>
      </c>
      <c r="D42" s="24">
        <f>(77.2+12.4+55.9+10.3+57.8+9.2+199.7)+1400+1118</f>
        <v>2940.5</v>
      </c>
      <c r="E42" s="25">
        <f>37.9+45.5+33.5+3.2+3.8+2.9+0.7+0.8+0.7+0.9+1+0.8+2603.8+26.4+24.9+21.6+57.4+53.9+48.6+4.5+4.3+3.8+1.6+0.7+1.6+0.7+13+12.6+11.3+30.5+28.1+24.5+199.8+283.5+177.2+41.5+44.1+33.9+156.9+136.4+134.1+24.6+33.7+24.7</f>
        <v>4395.900000000001</v>
      </c>
      <c r="F42" s="27">
        <f>(116.3+8.1+55.7+0.8+0.5+112+3.9)/12*12+2170+2220+2338-45-500+1186.3+150</f>
        <v>7816.6</v>
      </c>
      <c r="G42" s="27">
        <f>432.4+147.7+256.8+1.7+1.2+88.1+16.5+7119.1+17.5+0.05</f>
        <v>8081.05</v>
      </c>
      <c r="H42" s="28">
        <f t="shared" si="3"/>
        <v>17894.1</v>
      </c>
      <c r="I42" s="18">
        <f t="shared" si="3"/>
        <v>23413.85</v>
      </c>
    </row>
    <row r="43" spans="1:9" ht="15">
      <c r="A43" s="11" t="s">
        <v>40</v>
      </c>
      <c r="B43" s="36">
        <f>B44+B45</f>
        <v>1651.4532</v>
      </c>
      <c r="C43" s="30">
        <f>SUM(C44:C47)</f>
        <v>1193.3472000000002</v>
      </c>
      <c r="D43" s="27">
        <f>D44+D45</f>
        <v>864.47</v>
      </c>
      <c r="E43" s="25">
        <f>SUM(E44:E47)</f>
        <v>394.24879999999996</v>
      </c>
      <c r="F43" s="27"/>
      <c r="G43" s="27"/>
      <c r="H43" s="28">
        <f t="shared" si="3"/>
        <v>2515.9232</v>
      </c>
      <c r="I43" s="18">
        <f t="shared" si="3"/>
        <v>1587.596</v>
      </c>
    </row>
    <row r="44" spans="1:9" ht="15">
      <c r="A44" s="11" t="s">
        <v>35</v>
      </c>
      <c r="B44" s="37">
        <f>(190+120+185+813.6)</f>
        <v>1308.6</v>
      </c>
      <c r="C44" s="30">
        <f>670.1+100.3+95+80.2</f>
        <v>945.6</v>
      </c>
      <c r="D44" s="38">
        <f>(275+210+200)</f>
        <v>685</v>
      </c>
      <c r="E44" s="30">
        <f>110.7+106.5+95.2</f>
        <v>312.4</v>
      </c>
      <c r="F44" s="22"/>
      <c r="G44" s="33"/>
      <c r="H44" s="28">
        <f t="shared" si="3"/>
        <v>1993.6</v>
      </c>
      <c r="I44" s="23">
        <f t="shared" si="3"/>
        <v>1258</v>
      </c>
    </row>
    <row r="45" spans="1:9" ht="15">
      <c r="A45" s="11" t="s">
        <v>36</v>
      </c>
      <c r="B45" s="37">
        <f>B44*26.2%</f>
        <v>342.8532</v>
      </c>
      <c r="C45" s="37">
        <f>C44*26.2%</f>
        <v>247.74720000000002</v>
      </c>
      <c r="D45" s="38">
        <f>D44*26.2%</f>
        <v>179.47</v>
      </c>
      <c r="E45" s="37">
        <f>E44*26.2%</f>
        <v>81.8488</v>
      </c>
      <c r="F45" s="22"/>
      <c r="G45" s="33"/>
      <c r="H45" s="28">
        <f t="shared" si="3"/>
        <v>522.3232</v>
      </c>
      <c r="I45" s="23">
        <f t="shared" si="3"/>
        <v>329.596</v>
      </c>
    </row>
    <row r="46" spans="1:9" ht="15">
      <c r="A46" s="11" t="s">
        <v>41</v>
      </c>
      <c r="B46" s="12"/>
      <c r="C46" s="12"/>
      <c r="D46" s="22"/>
      <c r="E46" s="32"/>
      <c r="F46" s="22"/>
      <c r="G46" s="33"/>
      <c r="H46" s="28"/>
      <c r="I46" s="10"/>
    </row>
    <row r="47" spans="1:9" ht="15">
      <c r="A47" s="11" t="s">
        <v>42</v>
      </c>
      <c r="B47" s="12"/>
      <c r="C47" s="12"/>
      <c r="D47" s="39"/>
      <c r="E47" s="32"/>
      <c r="F47" s="22"/>
      <c r="G47" s="33"/>
      <c r="H47" s="28"/>
      <c r="I47" s="10"/>
    </row>
    <row r="48" spans="1:9" ht="15">
      <c r="A48" s="40" t="s">
        <v>43</v>
      </c>
      <c r="B48" s="25"/>
      <c r="C48" s="30"/>
      <c r="D48" s="27"/>
      <c r="E48" s="25"/>
      <c r="F48" s="24">
        <f>(22+5)</f>
        <v>27</v>
      </c>
      <c r="G48" s="27">
        <v>26.1</v>
      </c>
      <c r="H48" s="28">
        <f aca="true" t="shared" si="4" ref="H48:I51">B48+D48+F48</f>
        <v>27</v>
      </c>
      <c r="I48" s="18">
        <f t="shared" si="4"/>
        <v>26.1</v>
      </c>
    </row>
    <row r="49" spans="1:9" ht="15">
      <c r="A49" s="40" t="s">
        <v>44</v>
      </c>
      <c r="B49" s="25"/>
      <c r="C49" s="30"/>
      <c r="D49" s="27"/>
      <c r="E49" s="25"/>
      <c r="F49" s="27"/>
      <c r="G49" s="25">
        <v>23.8</v>
      </c>
      <c r="H49" s="28">
        <f t="shared" si="4"/>
        <v>0</v>
      </c>
      <c r="I49" s="18">
        <f t="shared" si="4"/>
        <v>23.8</v>
      </c>
    </row>
    <row r="50" spans="1:9" ht="15">
      <c r="A50" s="40" t="s">
        <v>45</v>
      </c>
      <c r="B50" s="25">
        <f>(13+18+10.8+35)</f>
        <v>76.8</v>
      </c>
      <c r="C50" s="30">
        <f>67.1+59.4+48</f>
        <v>174.5</v>
      </c>
      <c r="D50" s="27">
        <f>(15.5+21.1+14.6+50.2)</f>
        <v>101.4</v>
      </c>
      <c r="E50" s="25">
        <f>74.7+70.2+64.4</f>
        <v>209.3</v>
      </c>
      <c r="F50" s="27">
        <v>1100</v>
      </c>
      <c r="G50" s="27">
        <f>1079.5</f>
        <v>1079.5</v>
      </c>
      <c r="H50" s="28">
        <f t="shared" si="4"/>
        <v>1278.2</v>
      </c>
      <c r="I50" s="18">
        <f t="shared" si="4"/>
        <v>1463.3</v>
      </c>
    </row>
    <row r="51" spans="1:9" ht="15">
      <c r="A51" s="41" t="s">
        <v>46</v>
      </c>
      <c r="B51" s="25"/>
      <c r="C51" s="30"/>
      <c r="D51" s="27"/>
      <c r="E51" s="25"/>
      <c r="F51" s="27">
        <v>298</v>
      </c>
      <c r="G51" s="27">
        <v>282.1</v>
      </c>
      <c r="H51" s="28">
        <f t="shared" si="4"/>
        <v>298</v>
      </c>
      <c r="I51" s="18">
        <f t="shared" si="4"/>
        <v>282.1</v>
      </c>
    </row>
    <row r="52" spans="1:9" ht="15">
      <c r="A52" s="40" t="s">
        <v>47</v>
      </c>
      <c r="B52" s="27"/>
      <c r="C52" s="30"/>
      <c r="D52" s="27"/>
      <c r="E52" s="25"/>
      <c r="F52" s="27"/>
      <c r="G52" s="27"/>
      <c r="H52" s="19">
        <v>38900.8</v>
      </c>
      <c r="I52" s="18">
        <f>H52</f>
        <v>38900.8</v>
      </c>
    </row>
    <row r="53" spans="1:9" ht="15">
      <c r="A53" s="40" t="s">
        <v>48</v>
      </c>
      <c r="B53" s="42"/>
      <c r="C53" s="28"/>
      <c r="D53" s="42"/>
      <c r="E53" s="25"/>
      <c r="F53" s="42"/>
      <c r="G53" s="27"/>
      <c r="H53" s="19">
        <v>5244.9</v>
      </c>
      <c r="I53" s="18">
        <f>H53</f>
        <v>5244.9</v>
      </c>
    </row>
    <row r="54" spans="1:9" ht="15">
      <c r="A54" s="11" t="s">
        <v>18</v>
      </c>
      <c r="B54" s="22">
        <f>B28+B31+B32+B33+B34+B35+B37+B40+B41+B42+B43+B36+B48+B50+B52+B53+B49</f>
        <v>49043.99920000001</v>
      </c>
      <c r="C54" s="17">
        <f>C28+C31+C32+C33+C34+C35+C37+C40+C41+C42+C43+C36+C48+C50+C52+C53+C49</f>
        <v>48656.24719999999</v>
      </c>
      <c r="D54" s="22">
        <f>D28+D31+D32+D33+D34+D35+D37+D40+D41+D42+D43+D36+D48+D50+D52+D53+D49</f>
        <v>33112.20680000001</v>
      </c>
      <c r="E54" s="15">
        <f>E28+E31+E32+E33+E34+E35+E37+E40+E41+E42+E43+E36+E48+E50+E52+E53+E49+E51</f>
        <v>32872.048800000004</v>
      </c>
      <c r="F54" s="15">
        <f>F28+F31+F32+F33+F34+F35+F37+F40+F41+F42+F43+F36+F48+F50+F52+F53+F49+F51</f>
        <v>17446.11188</v>
      </c>
      <c r="G54" s="15">
        <f>G28+G31+G32+G33+G34+G35+G37+G40+G41+G42+G43+G36+G48+G50+G52+G53+G49+G51</f>
        <v>17213.249999999996</v>
      </c>
      <c r="H54" s="15">
        <f>H28+H31+H32+H33+H34+H35+H37+H40+H41+H42+H43+H36+H48+H50+H52+H53+H49+H51</f>
        <v>143748.01788000003</v>
      </c>
      <c r="I54" s="10">
        <f>I28+I31+I32+I33+I34+I35+I37+I40+I41+I42+I43+I36+I48+I50+I52+I53+I49+I51</f>
        <v>142887.24599999998</v>
      </c>
    </row>
    <row r="55" spans="1:9" ht="13.5">
      <c r="A55" s="43" t="s">
        <v>49</v>
      </c>
      <c r="B55" s="44">
        <f aca="true" t="shared" si="5" ref="B55:I55">B54</f>
        <v>49043.99920000001</v>
      </c>
      <c r="C55" s="44">
        <f t="shared" si="5"/>
        <v>48656.24719999999</v>
      </c>
      <c r="D55" s="44">
        <f t="shared" si="5"/>
        <v>33112.20680000001</v>
      </c>
      <c r="E55" s="44">
        <f t="shared" si="5"/>
        <v>32872.048800000004</v>
      </c>
      <c r="F55" s="44">
        <f t="shared" si="5"/>
        <v>17446.11188</v>
      </c>
      <c r="G55" s="45">
        <f t="shared" si="5"/>
        <v>17213.249999999996</v>
      </c>
      <c r="H55" s="44">
        <f t="shared" si="5"/>
        <v>143748.01788000003</v>
      </c>
      <c r="I55" s="46">
        <f t="shared" si="5"/>
        <v>142887.24599999998</v>
      </c>
    </row>
    <row r="56" spans="1:9" ht="13.5">
      <c r="A56" s="47"/>
      <c r="B56" s="47"/>
      <c r="C56" s="47"/>
      <c r="D56" s="47"/>
      <c r="E56" s="47"/>
      <c r="F56" s="47"/>
      <c r="G56" s="47"/>
      <c r="H56" s="47"/>
      <c r="I56" s="47"/>
    </row>
  </sheetData>
  <mergeCells count="30">
    <mergeCell ref="B3:G3"/>
    <mergeCell ref="B4:G4"/>
    <mergeCell ref="B5:F5"/>
    <mergeCell ref="B7:E8"/>
    <mergeCell ref="F7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F18:G18"/>
    <mergeCell ref="H22:I22"/>
    <mergeCell ref="A22:A23"/>
    <mergeCell ref="B22:C22"/>
    <mergeCell ref="D22:E22"/>
    <mergeCell ref="F22:G22"/>
  </mergeCells>
  <printOptions/>
  <pageMargins left="0.75" right="0.75" top="0.19" bottom="0.45" header="0.17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2012-05-07T06:16:08Z</cp:lastPrinted>
  <dcterms:created xsi:type="dcterms:W3CDTF">1996-10-08T23:32:33Z</dcterms:created>
  <dcterms:modified xsi:type="dcterms:W3CDTF">2012-05-07T06:16:15Z</dcterms:modified>
  <cp:category/>
  <cp:version/>
  <cp:contentType/>
  <cp:contentStatus/>
</cp:coreProperties>
</file>